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7.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8.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9.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0.xml" ContentType="application/vnd.openxmlformats-officedocument.drawing+xml"/>
  <Override PartName="/xl/charts/chart2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L:\U\STATISTIQUES\07_PORTRAITS TOURS\03_PORTRAITS TOURS PUBLIES\"/>
    </mc:Choice>
  </mc:AlternateContent>
  <bookViews>
    <workbookView xWindow="-12972" yWindow="756" windowWidth="16608" windowHeight="9432" tabRatio="900" firstSheet="2" activeTab="2"/>
  </bookViews>
  <sheets>
    <sheet name="Base de données" sheetId="13" r:id="rId1"/>
    <sheet name="Pyramide âge" sheetId="42" state="hidden" r:id="rId2"/>
    <sheet name="Page de garde" sheetId="23" r:id="rId3"/>
    <sheet name="Cartographie des quartiers" sheetId="44" r:id="rId4"/>
    <sheet name="Démographie" sheetId="15" r:id="rId5"/>
    <sheet name="Âge" sheetId="18" r:id="rId6"/>
    <sheet name="Revenus" sheetId="38" r:id="rId7"/>
    <sheet name="Ménages" sheetId="20" r:id="rId8"/>
    <sheet name="Habitat" sheetId="11" r:id="rId9"/>
    <sheet name="Emploi et activité" sheetId="22" r:id="rId10"/>
    <sheet name="Formation" sheetId="37" r:id="rId11"/>
    <sheet name="Domicile-travail" sheetId="43" r:id="rId12"/>
    <sheet name="Aides traitements" sheetId="10" r:id="rId13"/>
  </sheets>
  <externalReferences>
    <externalReference r:id="rId14"/>
  </externalReferences>
  <definedNames>
    <definedName name="_xlnm._FilterDatabase" localSheetId="12" hidden="1">'Aides traitements'!#REF!</definedName>
    <definedName name="_xlnm._FilterDatabase" localSheetId="0" hidden="1">'Base de données'!$A$8:$QF$93</definedName>
    <definedName name="base1" localSheetId="10">#REF!</definedName>
    <definedName name="base1" localSheetId="6">#REF!</definedName>
    <definedName name="base1">#REF!</definedName>
    <definedName name="base2" localSheetId="10">#REF!</definedName>
    <definedName name="base2" localSheetId="6">#REF!</definedName>
    <definedName name="base2">#REF!</definedName>
    <definedName name="base3" localSheetId="10">#REF!</definedName>
    <definedName name="base3" localSheetId="6">#REF!</definedName>
    <definedName name="base3">#REF!</definedName>
    <definedName name="basefamille" localSheetId="10">#REF!</definedName>
    <definedName name="basefamille" localSheetId="8">#REF!</definedName>
    <definedName name="basefamille" localSheetId="6">#REF!</definedName>
    <definedName name="basefamille">#REF!</definedName>
    <definedName name="baselogt" localSheetId="10">#REF!</definedName>
    <definedName name="baselogt" localSheetId="8">#REF!</definedName>
    <definedName name="baselogt" localSheetId="6">#REF!</definedName>
    <definedName name="baselogt">#REF!</definedName>
    <definedName name="basepop" localSheetId="10">#REF!</definedName>
    <definedName name="basepop" localSheetId="8">#REF!</definedName>
    <definedName name="basepop" localSheetId="6">#REF!</definedName>
    <definedName name="basepop">#REF!</definedName>
    <definedName name="CHOMA_ZE1990" localSheetId="10">#REF!</definedName>
    <definedName name="CHOMA_ZE1990" localSheetId="6">#REF!</definedName>
    <definedName name="CHOMA_ZE1990">#REF!</definedName>
    <definedName name="Collectif" localSheetId="10">#REF!</definedName>
    <definedName name="Collectif" localSheetId="6">#REF!</definedName>
    <definedName name="Collectif">#REF!</definedName>
    <definedName name="Famille_S_M">[1]Famille!$A$1:$EN$41</definedName>
    <definedName name="g" localSheetId="10">#REF!</definedName>
    <definedName name="g" localSheetId="6">#REF!</definedName>
    <definedName name="g">#REF!</definedName>
    <definedName name="_xlnm.Print_Titles" localSheetId="5">Âge!$1:$1</definedName>
    <definedName name="_xlnm.Print_Titles" localSheetId="4">Démographie!$1:$1</definedName>
    <definedName name="_xlnm.Print_Titles" localSheetId="9">'Emploi et activité'!$1:$1</definedName>
    <definedName name="_xlnm.Print_Titles" localSheetId="10">Formation!$1:$1</definedName>
    <definedName name="_xlnm.Print_Titles" localSheetId="8">Habitat!$1:$1</definedName>
    <definedName name="_xlnm.Print_Titles" localSheetId="7">Ménages!$1:$1</definedName>
    <definedName name="Logement">[1]Logement!$A$1:$DL$41</definedName>
    <definedName name="Parc_logement">'Base de données'!$GK$7:$GN$48</definedName>
    <definedName name="Population">[1]Population!$A$1:$FA$41</definedName>
    <definedName name="_xlnm.Print_Area" localSheetId="5">Âge!$A$1:$M$78</definedName>
    <definedName name="_xlnm.Print_Area" localSheetId="4">Démographie!$A$1:$O$72</definedName>
    <definedName name="_xlnm.Print_Area" localSheetId="9">'Emploi et activité'!$A$1:$O$68</definedName>
    <definedName name="_xlnm.Print_Area" localSheetId="10">Formation!$A$1:$L$34</definedName>
    <definedName name="_xlnm.Print_Area" localSheetId="7">Ménages!$A$1:$O$68</definedName>
    <definedName name="_xlnm.Print_Area" localSheetId="2">'Page de garde'!$A$7:$O$63</definedName>
    <definedName name="_xlnm.Print_Area" localSheetId="6">Revenus!$A$1:$H$27</definedName>
  </definedNames>
  <calcPr calcId="162913"/>
  <webPublishing allowPng="1" dpi="120" codePage="1252"/>
</workbook>
</file>

<file path=xl/calcChain.xml><?xml version="1.0" encoding="utf-8"?>
<calcChain xmlns="http://schemas.openxmlformats.org/spreadsheetml/2006/main">
  <c r="A32" i="15" l="1"/>
  <c r="L36" i="15"/>
  <c r="L35" i="15"/>
  <c r="L32" i="15"/>
  <c r="W87" i="13"/>
  <c r="W86" i="13"/>
  <c r="W85" i="13"/>
  <c r="W84" i="13"/>
  <c r="W90" i="13" s="1"/>
  <c r="W83" i="13"/>
  <c r="W82" i="13"/>
  <c r="W81" i="13"/>
  <c r="W80" i="13"/>
  <c r="W79" i="13"/>
  <c r="W89" i="13" s="1"/>
  <c r="W78" i="13"/>
  <c r="W77" i="13"/>
  <c r="W76" i="13"/>
  <c r="W75" i="13"/>
  <c r="W74" i="13"/>
  <c r="W73" i="13"/>
  <c r="W72" i="13"/>
  <c r="W71" i="13"/>
  <c r="W70" i="13"/>
  <c r="W69" i="13"/>
  <c r="W68" i="13"/>
  <c r="W67" i="13"/>
  <c r="W66" i="13"/>
  <c r="W88" i="13" s="1"/>
  <c r="K36" i="15" l="1"/>
  <c r="J36" i="15" l="1"/>
  <c r="DP86" i="13" l="1"/>
  <c r="DP83" i="13"/>
  <c r="DP82" i="13"/>
  <c r="DP81" i="13"/>
  <c r="DP79" i="13"/>
  <c r="DP78" i="13"/>
  <c r="DP76" i="13"/>
  <c r="DP75" i="13"/>
  <c r="DP74" i="13"/>
  <c r="DP73" i="13"/>
  <c r="DP70" i="13"/>
  <c r="DP68" i="13"/>
  <c r="DP67" i="13"/>
  <c r="DP72" i="13"/>
  <c r="DP77" i="13"/>
  <c r="DP85" i="13"/>
  <c r="DP87" i="13"/>
  <c r="DP71" i="13"/>
  <c r="DP69" i="13"/>
  <c r="DP80" i="13"/>
  <c r="DP84" i="13"/>
  <c r="DP66" i="13" l="1"/>
  <c r="C86" i="13" l="1"/>
  <c r="C84" i="13"/>
  <c r="C81" i="13"/>
  <c r="C79" i="13"/>
  <c r="C78" i="13"/>
  <c r="C75" i="13"/>
  <c r="C74" i="13"/>
  <c r="C72" i="13"/>
  <c r="C71" i="13"/>
  <c r="C70" i="13"/>
  <c r="C67" i="13"/>
  <c r="C69" i="13"/>
  <c r="C73" i="13"/>
  <c r="C77" i="13"/>
  <c r="C82" i="13"/>
  <c r="C87" i="13"/>
  <c r="C68" i="13"/>
  <c r="C76" i="13"/>
  <c r="C80" i="13"/>
  <c r="C83" i="13"/>
  <c r="C85" i="13"/>
  <c r="C90" i="13" l="1"/>
  <c r="C89" i="13"/>
  <c r="C66" i="13"/>
  <c r="C88" i="13" s="1"/>
  <c r="A41" i="43"/>
  <c r="A33" i="43"/>
  <c r="A25" i="43"/>
  <c r="A16" i="43"/>
  <c r="O1" i="43"/>
  <c r="L1" i="37"/>
  <c r="O1" i="22"/>
  <c r="L1" i="11"/>
  <c r="O1" i="20"/>
  <c r="M1" i="18"/>
  <c r="O1" i="15"/>
  <c r="C91" i="13" l="1"/>
  <c r="A49" i="11"/>
  <c r="C44" i="11"/>
  <c r="B44" i="11"/>
  <c r="A10" i="11"/>
  <c r="A5" i="11"/>
  <c r="C5" i="11"/>
  <c r="B5" i="11"/>
  <c r="K6" i="20"/>
  <c r="A19" i="20"/>
  <c r="A12" i="20"/>
  <c r="C19" i="20"/>
  <c r="B19" i="20"/>
  <c r="C12" i="20"/>
  <c r="B12" i="20"/>
  <c r="A24" i="20"/>
  <c r="A17" i="20"/>
  <c r="A10" i="20"/>
  <c r="C5" i="20"/>
  <c r="B5" i="20"/>
  <c r="A5" i="20"/>
  <c r="A8" i="38"/>
  <c r="J39" i="15"/>
  <c r="A19" i="15"/>
  <c r="A10" i="15"/>
  <c r="C14" i="15"/>
  <c r="B14" i="15"/>
  <c r="C5" i="15"/>
  <c r="B5" i="15"/>
  <c r="J16" i="23"/>
  <c r="J12" i="23"/>
  <c r="B46" i="23"/>
  <c r="B45" i="23"/>
  <c r="B44" i="23"/>
  <c r="B39" i="23"/>
  <c r="OY95" i="13"/>
  <c r="OU95" i="13"/>
  <c r="OT93" i="13"/>
  <c r="OY7" i="13"/>
  <c r="OU7" i="13"/>
  <c r="NT93" i="13"/>
  <c r="NU7" i="13"/>
  <c r="NH93" i="13"/>
  <c r="NI6" i="13"/>
  <c r="MZ95" i="13"/>
  <c r="MX95" i="13"/>
  <c r="MW93" i="13"/>
  <c r="NA7" i="13"/>
  <c r="MX7" i="13"/>
  <c r="MJ95" i="13"/>
  <c r="MD95" i="13"/>
  <c r="MC93" i="13"/>
  <c r="MJ7" i="13"/>
  <c r="MD7" i="13"/>
  <c r="LP95" i="13"/>
  <c r="LJ95" i="13"/>
  <c r="LI93" i="13"/>
  <c r="LP7" i="13"/>
  <c r="LJ7" i="13"/>
  <c r="LB95" i="13"/>
  <c r="KY95" i="13"/>
  <c r="KX93" i="13"/>
  <c r="LB7" i="13"/>
  <c r="KY7" i="13"/>
  <c r="JO95" i="13"/>
  <c r="JK95" i="13"/>
  <c r="JJ93" i="13"/>
  <c r="JO7" i="13"/>
  <c r="JK7" i="13"/>
  <c r="IW95" i="13"/>
  <c r="IQ95" i="13"/>
  <c r="IP93" i="13"/>
  <c r="IW7" i="13"/>
  <c r="IQ7" i="13"/>
  <c r="IA95" i="13"/>
  <c r="HW95" i="13"/>
  <c r="HV93" i="13"/>
  <c r="IC7" i="13"/>
  <c r="HW7" i="13"/>
  <c r="HK93" i="13"/>
  <c r="HO7" i="13"/>
  <c r="HL7" i="13"/>
  <c r="HD95" i="13"/>
  <c r="HA95" i="13"/>
  <c r="GZ93" i="13"/>
  <c r="HD7" i="13"/>
  <c r="HA7" i="13"/>
  <c r="GS95" i="13"/>
  <c r="GP95" i="13"/>
  <c r="GO93" i="13"/>
  <c r="GS7" i="13"/>
  <c r="GP7" i="13"/>
  <c r="GL8" i="13"/>
  <c r="GK8" i="13"/>
  <c r="GA95" i="13"/>
  <c r="FW95" i="13"/>
  <c r="FV93" i="13"/>
  <c r="GA7" i="13"/>
  <c r="FW7" i="13"/>
  <c r="EV93" i="13"/>
  <c r="FA95" i="13"/>
  <c r="EW95" i="13"/>
  <c r="FE6" i="13"/>
  <c r="EW6" i="13"/>
  <c r="EK95" i="13"/>
  <c r="EF95" i="13"/>
  <c r="EE93" i="13"/>
  <c r="EK7" i="13"/>
  <c r="EF7" i="13"/>
  <c r="DY93" i="13"/>
  <c r="EA8" i="13"/>
  <c r="DZ8" i="13"/>
  <c r="DT93" i="13"/>
  <c r="DV8" i="13"/>
  <c r="DU8" i="13"/>
  <c r="DO93" i="13"/>
  <c r="DQ8" i="13"/>
  <c r="DP8" i="13"/>
  <c r="DH3" i="13"/>
  <c r="CS15" i="13"/>
  <c r="CX17" i="13"/>
  <c r="CT17" i="13"/>
  <c r="CX6" i="13"/>
  <c r="CT6" i="13"/>
  <c r="CL95" i="13"/>
  <c r="CI95" i="13"/>
  <c r="CH93" i="13"/>
  <c r="CL7" i="13"/>
  <c r="CI7" i="13"/>
  <c r="BU95" i="13"/>
  <c r="BO95" i="13"/>
  <c r="BN93" i="13"/>
  <c r="BU7" i="13"/>
  <c r="BO7" i="13"/>
  <c r="AW95" i="13" l="1"/>
  <c r="AO95" i="13"/>
  <c r="AN93" i="13"/>
  <c r="AW7" i="13"/>
  <c r="AO7" i="13"/>
  <c r="G93" i="13"/>
  <c r="D96" i="13"/>
  <c r="C96" i="13"/>
  <c r="B93" i="13"/>
  <c r="D8" i="13"/>
  <c r="C8" i="13"/>
  <c r="J28" i="18" l="1"/>
  <c r="C28" i="18"/>
  <c r="J17" i="18"/>
  <c r="C17" i="18"/>
  <c r="J6" i="18"/>
  <c r="C6" i="18"/>
  <c r="F43" i="15" l="1"/>
  <c r="F42" i="15"/>
  <c r="AC87" i="13"/>
  <c r="AC84" i="13"/>
  <c r="AC81" i="13"/>
  <c r="AC78" i="13"/>
  <c r="AC68" i="13"/>
  <c r="AC73" i="13" l="1"/>
  <c r="AC80" i="13"/>
  <c r="AC77" i="13"/>
  <c r="AC90" i="13"/>
  <c r="AC86" i="13"/>
  <c r="AC66" i="13"/>
  <c r="AC67" i="13"/>
  <c r="AC72" i="13"/>
  <c r="AC89" i="13"/>
  <c r="AC83" i="13"/>
  <c r="AC85" i="13"/>
  <c r="AC69" i="13"/>
  <c r="AC71" i="13"/>
  <c r="AC70" i="13"/>
  <c r="AC74" i="13"/>
  <c r="AC76" i="13"/>
  <c r="AC79" i="13"/>
  <c r="AC75" i="13"/>
  <c r="AC82" i="13"/>
  <c r="AC88" i="13"/>
  <c r="A5" i="43" l="1"/>
  <c r="A33" i="37"/>
  <c r="A19" i="37"/>
  <c r="A11" i="37"/>
  <c r="A5" i="37"/>
  <c r="A67" i="22"/>
  <c r="A61" i="22"/>
  <c r="A57" i="22"/>
  <c r="A50" i="22"/>
  <c r="K41" i="22"/>
  <c r="A46" i="22"/>
  <c r="A40" i="22"/>
  <c r="A37" i="22"/>
  <c r="A24" i="22"/>
  <c r="A21" i="22"/>
  <c r="A6" i="22"/>
  <c r="A102" i="11"/>
  <c r="A96" i="11"/>
  <c r="A93" i="11"/>
  <c r="A80" i="11"/>
  <c r="A76" i="11"/>
  <c r="A70" i="11"/>
  <c r="A67" i="11"/>
  <c r="A61" i="11"/>
  <c r="A58" i="11"/>
  <c r="A52" i="11"/>
  <c r="D44" i="11"/>
  <c r="A36" i="11"/>
  <c r="A30" i="11"/>
  <c r="A27" i="11"/>
  <c r="A21" i="11"/>
  <c r="D5" i="11"/>
  <c r="A59" i="20"/>
  <c r="A53" i="20"/>
  <c r="A47" i="20"/>
  <c r="A41" i="20"/>
  <c r="A39" i="20"/>
  <c r="A26" i="20"/>
  <c r="D19" i="20"/>
  <c r="D12" i="20"/>
  <c r="D5" i="20"/>
  <c r="G48" i="18"/>
  <c r="A53" i="18"/>
  <c r="C48" i="18"/>
  <c r="A39" i="18"/>
  <c r="A45" i="18"/>
  <c r="A33" i="18"/>
  <c r="M28" i="18"/>
  <c r="F28" i="18"/>
  <c r="M17" i="18"/>
  <c r="F17" i="18"/>
  <c r="A22" i="18"/>
  <c r="M6" i="18"/>
  <c r="F6" i="18"/>
  <c r="A11" i="18"/>
  <c r="A71" i="15"/>
  <c r="A58" i="15"/>
  <c r="D5" i="15"/>
  <c r="E96" i="13"/>
  <c r="BE95" i="13"/>
  <c r="CA95" i="13"/>
  <c r="CO95" i="13"/>
  <c r="EP95" i="13"/>
  <c r="FE95" i="13"/>
  <c r="GE95" i="13"/>
  <c r="GV95" i="13"/>
  <c r="HG95" i="13"/>
  <c r="IE95" i="13"/>
  <c r="JC95" i="13"/>
  <c r="LE95" i="13"/>
  <c r="MZ99" i="13"/>
  <c r="PZ93" i="13"/>
  <c r="PR93" i="13"/>
  <c r="PH93" i="13"/>
  <c r="PC95" i="13"/>
  <c r="OD93" i="13"/>
  <c r="NB95" i="13"/>
  <c r="MP95" i="13"/>
  <c r="LV95" i="13"/>
  <c r="KD93" i="13"/>
  <c r="JX93" i="13"/>
  <c r="JS95" i="13"/>
  <c r="AN101" i="13"/>
  <c r="BN101" i="13"/>
  <c r="EE101" i="13"/>
  <c r="EV101" i="13"/>
  <c r="FV101" i="13"/>
  <c r="GO101" i="13"/>
  <c r="GZ101" i="13"/>
  <c r="IP101" i="13"/>
  <c r="JJ101" i="13"/>
  <c r="KX101" i="13"/>
  <c r="LI101" i="13"/>
  <c r="MC101" i="13"/>
  <c r="OT101" i="13"/>
  <c r="PI6" i="13"/>
  <c r="PC7" i="13"/>
  <c r="NY7" i="13"/>
  <c r="NN6" i="13"/>
  <c r="ND7" i="13"/>
  <c r="MP7" i="13"/>
  <c r="LV7" i="13"/>
  <c r="LE7" i="13"/>
  <c r="JS7" i="13"/>
  <c r="JC7" i="13"/>
  <c r="II7" i="13"/>
  <c r="HR7" i="13"/>
  <c r="HG7" i="13"/>
  <c r="GV7" i="13"/>
  <c r="GM8" i="13"/>
  <c r="GE7" i="13"/>
  <c r="FM6" i="13"/>
  <c r="EP7" i="13"/>
  <c r="EB8" i="13"/>
  <c r="DW8" i="13"/>
  <c r="DR8" i="13"/>
  <c r="CX40" i="13"/>
  <c r="CX29" i="13"/>
  <c r="DB17" i="13"/>
  <c r="DB6" i="13"/>
  <c r="CO7" i="13"/>
  <c r="CA7" i="13"/>
  <c r="BE7" i="13"/>
  <c r="E8" i="13"/>
  <c r="G2" i="23"/>
  <c r="J42" i="23"/>
  <c r="J37" i="23"/>
  <c r="J35" i="23"/>
  <c r="J30" i="23"/>
  <c r="J29" i="23"/>
  <c r="J28" i="23"/>
  <c r="J27" i="23"/>
  <c r="J26" i="23"/>
  <c r="J21" i="23"/>
  <c r="J20" i="23"/>
  <c r="J19" i="23"/>
  <c r="J18" i="23"/>
  <c r="J17" i="23"/>
  <c r="J14" i="23"/>
  <c r="J13" i="23"/>
  <c r="B50" i="23"/>
  <c r="B48" i="23"/>
  <c r="B47" i="23"/>
  <c r="B32" i="23"/>
  <c r="B18" i="23"/>
  <c r="C39" i="15" l="1"/>
  <c r="D39" i="15"/>
  <c r="E39" i="15"/>
  <c r="F39" i="15"/>
  <c r="B39" i="15"/>
  <c r="D32" i="15"/>
  <c r="E32" i="15"/>
  <c r="F32" i="15"/>
  <c r="G32" i="15"/>
  <c r="H32" i="15"/>
  <c r="I32" i="15"/>
  <c r="J32" i="15"/>
  <c r="K32" i="15"/>
  <c r="C32" i="15"/>
  <c r="B32" i="15"/>
  <c r="PM87" i="13" l="1"/>
  <c r="PM86" i="13"/>
  <c r="PM85" i="13"/>
  <c r="PM84" i="13"/>
  <c r="PP83" i="13"/>
  <c r="PM83" i="13"/>
  <c r="PP82" i="13"/>
  <c r="PM82" i="13"/>
  <c r="PP81" i="13"/>
  <c r="PM81" i="13"/>
  <c r="PP80" i="13"/>
  <c r="PM80" i="13"/>
  <c r="PP79" i="13"/>
  <c r="PM79" i="13"/>
  <c r="PP78" i="13"/>
  <c r="PM78" i="13"/>
  <c r="PP77" i="13"/>
  <c r="PM77" i="13"/>
  <c r="PP76" i="13"/>
  <c r="PM76" i="13"/>
  <c r="PP75" i="13"/>
  <c r="PM75" i="13"/>
  <c r="PP74" i="13"/>
  <c r="PM74" i="13"/>
  <c r="PP73" i="13"/>
  <c r="PM73" i="13"/>
  <c r="PP72" i="13"/>
  <c r="PM72" i="13"/>
  <c r="PP71" i="13"/>
  <c r="PM71" i="13"/>
  <c r="PP70" i="13"/>
  <c r="PM70" i="13"/>
  <c r="PP69" i="13"/>
  <c r="PM69" i="13"/>
  <c r="PP68" i="13"/>
  <c r="PO68" i="13"/>
  <c r="PM68" i="13"/>
  <c r="PP67" i="13"/>
  <c r="PM67" i="13"/>
  <c r="PP86" i="13"/>
  <c r="PP87" i="13"/>
  <c r="PN67" i="13"/>
  <c r="PO67" i="13"/>
  <c r="PN68" i="13"/>
  <c r="PN69" i="13"/>
  <c r="PO69" i="13"/>
  <c r="PN70" i="13"/>
  <c r="PO70" i="13"/>
  <c r="PN71" i="13"/>
  <c r="PO71" i="13"/>
  <c r="PN72" i="13"/>
  <c r="PO72" i="13"/>
  <c r="PN73" i="13"/>
  <c r="PO73" i="13"/>
  <c r="PN74" i="13"/>
  <c r="PO74" i="13"/>
  <c r="PN75" i="13"/>
  <c r="PO75" i="13"/>
  <c r="PN76" i="13"/>
  <c r="PO76" i="13"/>
  <c r="PN77" i="13"/>
  <c r="PO77" i="13"/>
  <c r="PN78" i="13"/>
  <c r="PO78" i="13"/>
  <c r="PN79" i="13"/>
  <c r="PO79" i="13"/>
  <c r="PN80" i="13"/>
  <c r="PO80" i="13"/>
  <c r="PN81" i="13"/>
  <c r="PO81" i="13"/>
  <c r="PN82" i="13"/>
  <c r="PO82" i="13"/>
  <c r="PN83" i="13"/>
  <c r="PO83" i="13"/>
  <c r="PN84" i="13"/>
  <c r="PO84" i="13"/>
  <c r="PP84" i="13"/>
  <c r="PN85" i="13"/>
  <c r="PO85" i="13"/>
  <c r="PP85" i="13"/>
  <c r="PN86" i="13"/>
  <c r="PO86" i="13"/>
  <c r="PN87" i="13"/>
  <c r="PO87" i="13"/>
  <c r="PN66" i="13"/>
  <c r="PO66" i="13" l="1"/>
  <c r="PP66" i="13"/>
  <c r="PM66" i="13"/>
  <c r="FK87" i="13" l="1"/>
  <c r="FK85" i="13"/>
  <c r="FK84" i="13"/>
  <c r="FK81" i="13"/>
  <c r="FK78" i="13"/>
  <c r="FK74" i="13"/>
  <c r="FK68" i="13"/>
  <c r="FK77" i="13" l="1"/>
  <c r="FK80" i="13"/>
  <c r="FK69" i="13"/>
  <c r="FK71" i="13"/>
  <c r="FK73" i="13"/>
  <c r="FK76" i="13"/>
  <c r="FK79" i="13"/>
  <c r="FK83" i="13"/>
  <c r="FK67" i="13"/>
  <c r="FK70" i="13"/>
  <c r="FK72" i="13"/>
  <c r="FK75" i="13"/>
  <c r="FK82" i="13"/>
  <c r="FK86" i="13"/>
  <c r="FK66" i="13"/>
  <c r="AB71" i="13" l="1"/>
  <c r="K35" i="15" l="1"/>
  <c r="PX86" i="13" l="1"/>
  <c r="PX85" i="13"/>
  <c r="PX84" i="13"/>
  <c r="PX81" i="13"/>
  <c r="PX78" i="13"/>
  <c r="PX68" i="13"/>
  <c r="PX77" i="13" l="1"/>
  <c r="PX80" i="13"/>
  <c r="PX66" i="13"/>
  <c r="PX69" i="13"/>
  <c r="PX70" i="13"/>
  <c r="PX71" i="13"/>
  <c r="PX72" i="13"/>
  <c r="PX73" i="13"/>
  <c r="PX74" i="13"/>
  <c r="PX75" i="13"/>
  <c r="PX76" i="13"/>
  <c r="PX82" i="13"/>
  <c r="PX83" i="13"/>
  <c r="PX87" i="13"/>
  <c r="PX90" i="13" s="1"/>
  <c r="PX67" i="13"/>
  <c r="PX79" i="13"/>
  <c r="PX88" i="13" l="1"/>
  <c r="PX89" i="13"/>
  <c r="PX91" i="13" l="1"/>
  <c r="G9" i="43" s="1"/>
  <c r="KY9" i="13"/>
  <c r="V87" i="13" l="1"/>
  <c r="V85" i="13"/>
  <c r="V84" i="13"/>
  <c r="V81" i="13"/>
  <c r="V78" i="13"/>
  <c r="V68" i="13"/>
  <c r="V77" i="13" l="1"/>
  <c r="V80" i="13"/>
  <c r="V70" i="13"/>
  <c r="V72" i="13"/>
  <c r="V74" i="13"/>
  <c r="V83" i="13"/>
  <c r="V66" i="13"/>
  <c r="V67" i="13"/>
  <c r="V86" i="13"/>
  <c r="V90" i="13" s="1"/>
  <c r="V69" i="13"/>
  <c r="V71" i="13"/>
  <c r="V73" i="13"/>
  <c r="V75" i="13"/>
  <c r="V76" i="13"/>
  <c r="V79" i="13"/>
  <c r="V82" i="13"/>
  <c r="V89" i="13" l="1"/>
  <c r="V88" i="13"/>
  <c r="CT29" i="13"/>
  <c r="Z90" i="13" l="1"/>
  <c r="AA90" i="13"/>
  <c r="AB90" i="13"/>
  <c r="AG90" i="13" s="1"/>
  <c r="Y90" i="13"/>
  <c r="Z89" i="13"/>
  <c r="AA89" i="13"/>
  <c r="AB89" i="13"/>
  <c r="AG89" i="13" s="1"/>
  <c r="Y89" i="13"/>
  <c r="Z88" i="13"/>
  <c r="AA88" i="13"/>
  <c r="AB88" i="13"/>
  <c r="AG88" i="13" s="1"/>
  <c r="Y88" i="13"/>
  <c r="B40" i="43" l="1"/>
  <c r="B38" i="43"/>
  <c r="B30" i="43"/>
  <c r="A22" i="43"/>
  <c r="A7" i="43"/>
  <c r="J5" i="43" s="1"/>
  <c r="A30" i="43" l="1"/>
  <c r="B32" i="43" s="1"/>
  <c r="G7" i="43"/>
  <c r="B24" i="43"/>
  <c r="B22" i="43"/>
  <c r="QB81" i="13" l="1"/>
  <c r="QB78" i="13"/>
  <c r="QD75" i="13"/>
  <c r="QE73" i="13"/>
  <c r="QA72" i="13"/>
  <c r="QC72" i="13"/>
  <c r="QB72" i="13"/>
  <c r="QA71" i="13"/>
  <c r="QE69" i="13"/>
  <c r="QA69" i="13"/>
  <c r="QF68" i="13"/>
  <c r="QE68" i="13"/>
  <c r="QD68" i="13"/>
  <c r="QD67" i="13"/>
  <c r="QA67" i="13"/>
  <c r="QD87" i="13"/>
  <c r="QD86" i="13"/>
  <c r="QD85" i="13"/>
  <c r="QD84" i="13"/>
  <c r="QD83" i="13"/>
  <c r="QD82" i="13"/>
  <c r="QD81" i="13"/>
  <c r="QD79" i="13"/>
  <c r="QD78" i="13"/>
  <c r="QD71" i="13"/>
  <c r="PZ100" i="13"/>
  <c r="PZ97" i="13"/>
  <c r="QA87" i="13"/>
  <c r="QE81" i="13"/>
  <c r="QF87" i="13"/>
  <c r="QE87" i="13"/>
  <c r="QC87" i="13"/>
  <c r="QB87" i="13"/>
  <c r="QB86" i="13"/>
  <c r="QF85" i="13"/>
  <c r="QE85" i="13"/>
  <c r="QC85" i="13"/>
  <c r="QB85" i="13"/>
  <c r="QA85" i="13"/>
  <c r="QF84" i="13"/>
  <c r="QE84" i="13"/>
  <c r="QC84" i="13"/>
  <c r="QB84" i="13"/>
  <c r="QA84" i="13"/>
  <c r="QC83" i="13"/>
  <c r="QF82" i="13"/>
  <c r="QE82" i="13"/>
  <c r="QA82" i="13"/>
  <c r="QF81" i="13"/>
  <c r="QC81" i="13"/>
  <c r="QA81" i="13"/>
  <c r="QE80" i="13"/>
  <c r="QC80" i="13"/>
  <c r="QE79" i="13"/>
  <c r="QF78" i="13"/>
  <c r="QE78" i="13"/>
  <c r="QC78" i="13"/>
  <c r="QA78" i="13"/>
  <c r="QC77" i="13"/>
  <c r="QE76" i="13"/>
  <c r="QE75" i="13"/>
  <c r="QC74" i="13"/>
  <c r="QA73" i="13"/>
  <c r="QE71" i="13"/>
  <c r="QC70" i="13"/>
  <c r="QC68" i="13"/>
  <c r="QB68" i="13"/>
  <c r="QA68" i="13"/>
  <c r="H23" i="43" l="1"/>
  <c r="PZ101" i="13"/>
  <c r="QD69" i="13"/>
  <c r="QF69" i="13"/>
  <c r="QB70" i="13"/>
  <c r="QF71" i="13"/>
  <c r="QD72" i="13"/>
  <c r="QF72" i="13"/>
  <c r="QD73" i="13"/>
  <c r="QF73" i="13"/>
  <c r="QD74" i="13"/>
  <c r="QB74" i="13"/>
  <c r="QD76" i="13"/>
  <c r="QD77" i="13"/>
  <c r="QD80" i="13"/>
  <c r="QD89" i="13" s="1"/>
  <c r="QF67" i="13"/>
  <c r="QD70" i="13"/>
  <c r="QD90" i="13"/>
  <c r="QB66" i="13"/>
  <c r="QD66" i="13"/>
  <c r="QC66" i="13"/>
  <c r="QF75" i="13"/>
  <c r="QA79" i="13"/>
  <c r="QE66" i="13"/>
  <c r="QC67" i="13"/>
  <c r="QB69" i="13"/>
  <c r="QE70" i="13"/>
  <c r="QB71" i="13"/>
  <c r="QE72" i="13"/>
  <c r="QB73" i="13"/>
  <c r="QE74" i="13"/>
  <c r="QB75" i="13"/>
  <c r="QB76" i="13"/>
  <c r="QA76" i="13"/>
  <c r="QF76" i="13"/>
  <c r="QA77" i="13"/>
  <c r="QF77" i="13"/>
  <c r="QE77" i="13"/>
  <c r="QB79" i="13"/>
  <c r="QA80" i="13"/>
  <c r="QF80" i="13"/>
  <c r="QB82" i="13"/>
  <c r="QC82" i="13"/>
  <c r="QE83" i="13"/>
  <c r="QE89" i="13" s="1"/>
  <c r="QB83" i="13"/>
  <c r="QC86" i="13"/>
  <c r="QC97" i="13" s="1"/>
  <c r="QB67" i="13"/>
  <c r="QA75" i="13"/>
  <c r="QF79" i="13"/>
  <c r="QA66" i="13"/>
  <c r="QF66" i="13"/>
  <c r="QE67" i="13"/>
  <c r="QC69" i="13"/>
  <c r="QA70" i="13"/>
  <c r="QF70" i="13"/>
  <c r="QC71" i="13"/>
  <c r="QC73" i="13"/>
  <c r="QA74" i="13"/>
  <c r="QF74" i="13"/>
  <c r="QC75" i="13"/>
  <c r="QC76" i="13"/>
  <c r="QB77" i="13"/>
  <c r="QC79" i="13"/>
  <c r="QC89" i="13" s="1"/>
  <c r="QB80" i="13"/>
  <c r="C23" i="43" s="1"/>
  <c r="QA83" i="13"/>
  <c r="QF83" i="13"/>
  <c r="QF89" i="13" s="1"/>
  <c r="QB90" i="13"/>
  <c r="QE86" i="13"/>
  <c r="QA86" i="13"/>
  <c r="QF86" i="13"/>
  <c r="QC88" i="13" l="1"/>
  <c r="QB88" i="13"/>
  <c r="QD88" i="13"/>
  <c r="H31" i="43" s="1"/>
  <c r="QF90" i="13"/>
  <c r="H25" i="43"/>
  <c r="QC90" i="13"/>
  <c r="H30" i="43" s="1"/>
  <c r="H22" i="43"/>
  <c r="QA90" i="13"/>
  <c r="C22" i="43"/>
  <c r="QE90" i="13"/>
  <c r="H32" i="43" s="1"/>
  <c r="H24" i="43"/>
  <c r="QE88" i="13"/>
  <c r="QC100" i="13"/>
  <c r="I22" i="43" s="1"/>
  <c r="QB89" i="13"/>
  <c r="C31" i="43" s="1"/>
  <c r="QA89" i="13"/>
  <c r="QD97" i="13"/>
  <c r="QD100" i="13"/>
  <c r="I23" i="43" s="1"/>
  <c r="QB100" i="13"/>
  <c r="D23" i="43" s="1"/>
  <c r="QB97" i="13"/>
  <c r="QE100" i="13"/>
  <c r="I24" i="43" s="1"/>
  <c r="QE97" i="13"/>
  <c r="QF100" i="13"/>
  <c r="I25" i="43" s="1"/>
  <c r="QF97" i="13"/>
  <c r="QA100" i="13"/>
  <c r="D22" i="43" s="1"/>
  <c r="QA97" i="13"/>
  <c r="QD91" i="13"/>
  <c r="QD101" i="13"/>
  <c r="I31" i="43" s="1"/>
  <c r="QC91" i="13"/>
  <c r="QF88" i="13"/>
  <c r="QA88" i="13"/>
  <c r="QB91" i="13"/>
  <c r="C39" i="43" s="1"/>
  <c r="QE91" i="13"/>
  <c r="H33" i="43" l="1"/>
  <c r="QC101" i="13"/>
  <c r="I30" i="43" s="1"/>
  <c r="QE101" i="13"/>
  <c r="I32" i="43" s="1"/>
  <c r="C30" i="43"/>
  <c r="D24" i="43"/>
  <c r="QE102" i="13"/>
  <c r="I40" i="43" s="1"/>
  <c r="H40" i="43"/>
  <c r="QC102" i="13"/>
  <c r="I38" i="43" s="1"/>
  <c r="H38" i="43"/>
  <c r="QD102" i="13"/>
  <c r="I39" i="43" s="1"/>
  <c r="H39" i="43"/>
  <c r="H26" i="43"/>
  <c r="H34" i="43"/>
  <c r="I26" i="43"/>
  <c r="QA91" i="13"/>
  <c r="QB102" i="13" s="1"/>
  <c r="D39" i="43" s="1"/>
  <c r="QA101" i="13"/>
  <c r="D30" i="43" s="1"/>
  <c r="QF91" i="13"/>
  <c r="QF101" i="13"/>
  <c r="I33" i="43" s="1"/>
  <c r="QB101" i="13"/>
  <c r="D31" i="43" s="1"/>
  <c r="I34" i="43" l="1"/>
  <c r="QA102" i="13"/>
  <c r="D38" i="43" s="1"/>
  <c r="D40" i="43" s="1"/>
  <c r="C38" i="43"/>
  <c r="QF102" i="13"/>
  <c r="I41" i="43" s="1"/>
  <c r="I42" i="43" s="1"/>
  <c r="H41" i="43"/>
  <c r="H42" i="43" s="1"/>
  <c r="D32" i="43"/>
  <c r="A44" i="11" l="1"/>
  <c r="E43" i="15" l="1"/>
  <c r="D43" i="15"/>
  <c r="C43" i="15"/>
  <c r="B43" i="15"/>
  <c r="E42" i="15"/>
  <c r="D42" i="15"/>
  <c r="C42" i="15"/>
  <c r="B42" i="15"/>
  <c r="B36" i="15"/>
  <c r="C36" i="15"/>
  <c r="D36" i="15"/>
  <c r="E36" i="15"/>
  <c r="F36" i="15"/>
  <c r="G36" i="15"/>
  <c r="H36" i="15"/>
  <c r="I36" i="15"/>
  <c r="B35" i="15"/>
  <c r="C35" i="15"/>
  <c r="D35" i="15"/>
  <c r="E35" i="15"/>
  <c r="F35" i="15"/>
  <c r="G35" i="15"/>
  <c r="H35" i="15"/>
  <c r="I35" i="15"/>
  <c r="J35" i="15"/>
  <c r="G11" i="38" l="1"/>
  <c r="F11" i="38"/>
  <c r="E11" i="38"/>
  <c r="D11" i="38"/>
  <c r="C11" i="38"/>
  <c r="B11" i="38"/>
  <c r="U87" i="13" l="1"/>
  <c r="U85" i="13"/>
  <c r="U84" i="13"/>
  <c r="U81" i="13"/>
  <c r="U78" i="13"/>
  <c r="U68" i="13"/>
  <c r="U86" i="13" l="1"/>
  <c r="U69" i="13"/>
  <c r="U73" i="13"/>
  <c r="U77" i="13"/>
  <c r="U80" i="13"/>
  <c r="U76" i="13"/>
  <c r="U72" i="13"/>
  <c r="U83" i="13"/>
  <c r="U66" i="13"/>
  <c r="U70" i="13"/>
  <c r="U74" i="13"/>
  <c r="U67" i="13"/>
  <c r="U71" i="13"/>
  <c r="U75" i="13"/>
  <c r="U79" i="13"/>
  <c r="U82" i="13"/>
  <c r="U90" i="13"/>
  <c r="A13" i="43"/>
  <c r="PR100" i="13"/>
  <c r="PR101" i="13" s="1"/>
  <c r="PR97" i="13"/>
  <c r="PW87" i="13"/>
  <c r="PV87" i="13"/>
  <c r="PU87" i="13"/>
  <c r="PT87" i="13"/>
  <c r="PS87" i="13"/>
  <c r="PW85" i="13"/>
  <c r="PV85" i="13"/>
  <c r="PU85" i="13"/>
  <c r="PT85" i="13"/>
  <c r="PS85" i="13"/>
  <c r="PW84" i="13"/>
  <c r="PV84" i="13"/>
  <c r="PU84" i="13"/>
  <c r="PT84" i="13"/>
  <c r="PS84" i="13"/>
  <c r="PW81" i="13"/>
  <c r="PV81" i="13"/>
  <c r="PU81" i="13"/>
  <c r="PT81" i="13"/>
  <c r="PS81" i="13"/>
  <c r="PW78" i="13"/>
  <c r="PV78" i="13"/>
  <c r="PU78" i="13"/>
  <c r="PT78" i="13"/>
  <c r="PS78" i="13"/>
  <c r="PW68" i="13"/>
  <c r="PV68" i="13"/>
  <c r="PU68" i="13"/>
  <c r="PT68" i="13"/>
  <c r="PS68" i="13"/>
  <c r="A7" i="37"/>
  <c r="PU70" i="13" l="1"/>
  <c r="PS71" i="13"/>
  <c r="PW71" i="13"/>
  <c r="PU72" i="13"/>
  <c r="PS73" i="13"/>
  <c r="PW73" i="13"/>
  <c r="PU74" i="13"/>
  <c r="PU83" i="13"/>
  <c r="PS77" i="13"/>
  <c r="PW77" i="13"/>
  <c r="PS80" i="13"/>
  <c r="PW80" i="13"/>
  <c r="PT69" i="13"/>
  <c r="PV70" i="13"/>
  <c r="PT71" i="13"/>
  <c r="PV72" i="13"/>
  <c r="PT73" i="13"/>
  <c r="PV74" i="13"/>
  <c r="PT66" i="13"/>
  <c r="PS66" i="13"/>
  <c r="PS67" i="13"/>
  <c r="PW67" i="13"/>
  <c r="PV67" i="13"/>
  <c r="PV69" i="13"/>
  <c r="PT70" i="13"/>
  <c r="PV71" i="13"/>
  <c r="PT72" i="13"/>
  <c r="PV73" i="13"/>
  <c r="PT74" i="13"/>
  <c r="PV75" i="13"/>
  <c r="PV76" i="13"/>
  <c r="PU77" i="13"/>
  <c r="PV79" i="13"/>
  <c r="PU80" i="13"/>
  <c r="PV82" i="13"/>
  <c r="PT83" i="13"/>
  <c r="PS86" i="13"/>
  <c r="PS90" i="13" s="1"/>
  <c r="PW86" i="13"/>
  <c r="PW90" i="13" s="1"/>
  <c r="PS70" i="13"/>
  <c r="PS72" i="13"/>
  <c r="PS74" i="13"/>
  <c r="PT77" i="13"/>
  <c r="PT80" i="13"/>
  <c r="C7" i="43" s="1"/>
  <c r="PV86" i="13"/>
  <c r="PV90" i="13" s="1"/>
  <c r="PS69" i="13"/>
  <c r="PW69" i="13"/>
  <c r="U89" i="13"/>
  <c r="U88" i="13"/>
  <c r="PS75" i="13"/>
  <c r="PW76" i="13"/>
  <c r="PS79" i="13"/>
  <c r="PU67" i="13"/>
  <c r="PX97" i="13" s="1"/>
  <c r="PT67" i="13"/>
  <c r="PT75" i="13"/>
  <c r="PT76" i="13"/>
  <c r="PS76" i="13"/>
  <c r="PV77" i="13"/>
  <c r="PT79" i="13"/>
  <c r="PV80" i="13"/>
  <c r="E7" i="43" s="1"/>
  <c r="PT82" i="13"/>
  <c r="PS82" i="13"/>
  <c r="PV83" i="13"/>
  <c r="PU86" i="13"/>
  <c r="PT86" i="13"/>
  <c r="PT90" i="13" s="1"/>
  <c r="PU66" i="13"/>
  <c r="PW75" i="13"/>
  <c r="PW79" i="13"/>
  <c r="PW82" i="13"/>
  <c r="PV66" i="13"/>
  <c r="PW66" i="13"/>
  <c r="PU69" i="13"/>
  <c r="PW70" i="13"/>
  <c r="PU71" i="13"/>
  <c r="PW72" i="13"/>
  <c r="PU73" i="13"/>
  <c r="PW74" i="13"/>
  <c r="PU75" i="13"/>
  <c r="PU76" i="13"/>
  <c r="PU79" i="13"/>
  <c r="PU82" i="13"/>
  <c r="PS83" i="13"/>
  <c r="PW83" i="13"/>
  <c r="PU90" i="13"/>
  <c r="A8" i="43"/>
  <c r="G8" i="43" s="1"/>
  <c r="A14" i="43"/>
  <c r="F7" i="43" l="1"/>
  <c r="B7" i="43"/>
  <c r="D7" i="43"/>
  <c r="PV100" i="13"/>
  <c r="PS100" i="13"/>
  <c r="PT97" i="13"/>
  <c r="PT100" i="13"/>
  <c r="PS97" i="13"/>
  <c r="PX100" i="13"/>
  <c r="PU100" i="13"/>
  <c r="PV97" i="13"/>
  <c r="PW100" i="13"/>
  <c r="PW97" i="13"/>
  <c r="PU97" i="13"/>
  <c r="PS88" i="13"/>
  <c r="PV88" i="13"/>
  <c r="PW89" i="13"/>
  <c r="PW88" i="13"/>
  <c r="F8" i="43" s="1"/>
  <c r="PV89" i="13"/>
  <c r="PT88" i="13"/>
  <c r="PS89" i="13"/>
  <c r="PU88" i="13"/>
  <c r="PT89" i="13"/>
  <c r="PU89" i="13"/>
  <c r="D13" i="43" l="1"/>
  <c r="F13" i="43"/>
  <c r="E13" i="43"/>
  <c r="B13" i="43"/>
  <c r="C13" i="43"/>
  <c r="C8" i="43"/>
  <c r="E8" i="43"/>
  <c r="PX101" i="13"/>
  <c r="PS101" i="13"/>
  <c r="PW101" i="13"/>
  <c r="PU101" i="13"/>
  <c r="G13" i="43"/>
  <c r="B8" i="43"/>
  <c r="PT101" i="13"/>
  <c r="PV101" i="13"/>
  <c r="D8" i="43"/>
  <c r="PS91" i="13"/>
  <c r="PW91" i="13"/>
  <c r="PV91" i="13"/>
  <c r="PT91" i="13"/>
  <c r="PU91" i="13"/>
  <c r="F14" i="43" l="1"/>
  <c r="E14" i="43"/>
  <c r="D14" i="43"/>
  <c r="B14" i="43"/>
  <c r="G14" i="43"/>
  <c r="C14" i="43"/>
  <c r="C9" i="43"/>
  <c r="PT102" i="13"/>
  <c r="PV102" i="13"/>
  <c r="E9" i="43"/>
  <c r="F9" i="43"/>
  <c r="PW102" i="13"/>
  <c r="PU102" i="13"/>
  <c r="D9" i="43"/>
  <c r="B9" i="43"/>
  <c r="PS102" i="13"/>
  <c r="PX102" i="13"/>
  <c r="B15" i="43" l="1"/>
  <c r="G15" i="43"/>
  <c r="D15" i="43"/>
  <c r="E15" i="43"/>
  <c r="F15" i="43"/>
  <c r="C15" i="43"/>
  <c r="OT100" i="13" l="1"/>
  <c r="L73" i="11" l="1"/>
  <c r="A10" i="38" l="1"/>
  <c r="AN100" i="13" l="1"/>
  <c r="A40" i="15" l="1"/>
  <c r="G10" i="38"/>
  <c r="F10" i="38"/>
  <c r="E10" i="38"/>
  <c r="D10" i="38"/>
  <c r="C10" i="38"/>
  <c r="A41" i="15" l="1"/>
  <c r="F41" i="15" s="1"/>
  <c r="F40" i="15"/>
  <c r="B10" i="38"/>
  <c r="I87" i="13" l="1"/>
  <c r="H87" i="13"/>
  <c r="I85" i="13"/>
  <c r="H85" i="13"/>
  <c r="I84" i="13"/>
  <c r="H84" i="13"/>
  <c r="I81" i="13"/>
  <c r="H81" i="13"/>
  <c r="I78" i="13"/>
  <c r="H78" i="13"/>
  <c r="I68" i="13"/>
  <c r="H68" i="13"/>
  <c r="I65" i="13"/>
  <c r="H65" i="13"/>
  <c r="I64" i="13"/>
  <c r="H64" i="13"/>
  <c r="I63" i="13"/>
  <c r="H63" i="13"/>
  <c r="I62" i="13"/>
  <c r="H62" i="13"/>
  <c r="I61" i="13"/>
  <c r="H61" i="13"/>
  <c r="I60" i="13"/>
  <c r="H60" i="13"/>
  <c r="I59" i="13"/>
  <c r="H59" i="13"/>
  <c r="I58" i="13"/>
  <c r="H58" i="13"/>
  <c r="I57" i="13"/>
  <c r="H57" i="13"/>
  <c r="I56" i="13"/>
  <c r="H56" i="13"/>
  <c r="I55" i="13"/>
  <c r="H55" i="13"/>
  <c r="I54" i="13"/>
  <c r="H54" i="13"/>
  <c r="I53" i="13"/>
  <c r="H53" i="13"/>
  <c r="I52" i="13"/>
  <c r="H52" i="13"/>
  <c r="I51" i="13"/>
  <c r="H51" i="13"/>
  <c r="I50" i="13"/>
  <c r="H50" i="13"/>
  <c r="I49" i="13"/>
  <c r="H49" i="13"/>
  <c r="I48" i="13"/>
  <c r="H48" i="13"/>
  <c r="I47" i="13"/>
  <c r="H47" i="13"/>
  <c r="I46" i="13"/>
  <c r="H46" i="13"/>
  <c r="I45" i="13"/>
  <c r="H45" i="13"/>
  <c r="I44" i="13"/>
  <c r="H44" i="13"/>
  <c r="I43" i="13"/>
  <c r="H43" i="13"/>
  <c r="I42" i="13"/>
  <c r="H42" i="13"/>
  <c r="I41" i="13"/>
  <c r="H41" i="13"/>
  <c r="I40" i="13"/>
  <c r="H40" i="13"/>
  <c r="I39" i="13"/>
  <c r="H39" i="13"/>
  <c r="I38" i="13"/>
  <c r="H38" i="13"/>
  <c r="I37" i="13"/>
  <c r="H37" i="13"/>
  <c r="I36" i="13"/>
  <c r="H36" i="13"/>
  <c r="I35" i="13"/>
  <c r="H35" i="13"/>
  <c r="I34" i="13"/>
  <c r="H34" i="13"/>
  <c r="I33" i="13"/>
  <c r="H33" i="13"/>
  <c r="I32" i="13"/>
  <c r="H32" i="13"/>
  <c r="I31" i="13"/>
  <c r="H31" i="13"/>
  <c r="I30" i="13"/>
  <c r="H30" i="13"/>
  <c r="I29" i="13"/>
  <c r="H29" i="13"/>
  <c r="I28" i="13"/>
  <c r="H28" i="13"/>
  <c r="I27" i="13"/>
  <c r="H27" i="13"/>
  <c r="I26" i="13"/>
  <c r="H26" i="13"/>
  <c r="I25" i="13"/>
  <c r="H25" i="13"/>
  <c r="I24" i="13"/>
  <c r="H24" i="13"/>
  <c r="I23" i="13"/>
  <c r="H23" i="13"/>
  <c r="I22" i="13"/>
  <c r="H22" i="13"/>
  <c r="I21" i="13"/>
  <c r="H21" i="13"/>
  <c r="I20" i="13"/>
  <c r="H20" i="13"/>
  <c r="I19" i="13"/>
  <c r="H19" i="13"/>
  <c r="I18" i="13"/>
  <c r="H18" i="13"/>
  <c r="I17" i="13"/>
  <c r="H17" i="13"/>
  <c r="I16" i="13"/>
  <c r="H16" i="13"/>
  <c r="I15" i="13"/>
  <c r="H15" i="13"/>
  <c r="I14" i="13"/>
  <c r="H14" i="13"/>
  <c r="I13" i="13"/>
  <c r="H13" i="13"/>
  <c r="I12" i="13"/>
  <c r="H12" i="13"/>
  <c r="I11" i="13"/>
  <c r="H11" i="13"/>
  <c r="I10" i="13"/>
  <c r="H10" i="13"/>
  <c r="I9" i="13"/>
  <c r="H9" i="13"/>
  <c r="PL87" i="13"/>
  <c r="PK87" i="13"/>
  <c r="PJ87" i="13"/>
  <c r="PI87" i="13"/>
  <c r="PJ86" i="13"/>
  <c r="PI86" i="13"/>
  <c r="PL85" i="13"/>
  <c r="PK85" i="13"/>
  <c r="PJ85" i="13"/>
  <c r="PI85" i="13"/>
  <c r="PL84" i="13"/>
  <c r="PK84" i="13"/>
  <c r="PJ84" i="13"/>
  <c r="PI84" i="13"/>
  <c r="PL83" i="13"/>
  <c r="PK83" i="13"/>
  <c r="PJ83" i="13"/>
  <c r="PI83" i="13"/>
  <c r="PJ82" i="13"/>
  <c r="PI82" i="13"/>
  <c r="PL80" i="13"/>
  <c r="PJ80" i="13"/>
  <c r="PI80" i="13"/>
  <c r="PK79" i="13"/>
  <c r="PJ79" i="13"/>
  <c r="PI79" i="13"/>
  <c r="PL78" i="13"/>
  <c r="PK78" i="13"/>
  <c r="PJ78" i="13"/>
  <c r="PI78" i="13"/>
  <c r="PL77" i="13"/>
  <c r="PK77" i="13"/>
  <c r="PJ77" i="13"/>
  <c r="PI77" i="13"/>
  <c r="PK76" i="13"/>
  <c r="PJ76" i="13"/>
  <c r="PI76" i="13"/>
  <c r="PK75" i="13"/>
  <c r="PJ75" i="13"/>
  <c r="PK74" i="13"/>
  <c r="PJ74" i="13"/>
  <c r="PI74" i="13"/>
  <c r="PL73" i="13"/>
  <c r="PJ73" i="13"/>
  <c r="PI73" i="13"/>
  <c r="PL72" i="13"/>
  <c r="PK72" i="13"/>
  <c r="PJ72" i="13"/>
  <c r="PI72" i="13"/>
  <c r="PL71" i="13"/>
  <c r="PK71" i="13"/>
  <c r="PJ71" i="13"/>
  <c r="PI71" i="13"/>
  <c r="PK70" i="13"/>
  <c r="PJ70" i="13"/>
  <c r="PI70" i="13"/>
  <c r="PL69" i="13"/>
  <c r="PK69" i="13"/>
  <c r="PJ69" i="13"/>
  <c r="PI69" i="13"/>
  <c r="PL68" i="13"/>
  <c r="PK68" i="13"/>
  <c r="PJ68" i="13"/>
  <c r="PI68" i="13"/>
  <c r="PJ67" i="13"/>
  <c r="PI67" i="13"/>
  <c r="PK66" i="13"/>
  <c r="PJ66" i="13"/>
  <c r="PI66" i="13"/>
  <c r="PF87" i="13"/>
  <c r="PE87" i="13"/>
  <c r="PD87" i="13"/>
  <c r="PC87" i="13"/>
  <c r="PB87" i="13"/>
  <c r="PA87" i="13"/>
  <c r="OZ87" i="13"/>
  <c r="OY87" i="13"/>
  <c r="OX87" i="13"/>
  <c r="OW87" i="13"/>
  <c r="OV87" i="13"/>
  <c r="OU87" i="13"/>
  <c r="PF86" i="13"/>
  <c r="PE86" i="13"/>
  <c r="PD86" i="13"/>
  <c r="PC86" i="13"/>
  <c r="PB86" i="13"/>
  <c r="PA86" i="13"/>
  <c r="OZ86" i="13"/>
  <c r="OY86" i="13"/>
  <c r="OX86" i="13"/>
  <c r="OW86" i="13"/>
  <c r="OV86" i="13"/>
  <c r="OU86" i="13"/>
  <c r="PF85" i="13"/>
  <c r="PE85" i="13"/>
  <c r="PD85" i="13"/>
  <c r="PC85" i="13"/>
  <c r="PB85" i="13"/>
  <c r="PA85" i="13"/>
  <c r="OZ85" i="13"/>
  <c r="OY85" i="13"/>
  <c r="OX85" i="13"/>
  <c r="OW85" i="13"/>
  <c r="OV85" i="13"/>
  <c r="OU85" i="13"/>
  <c r="PF84" i="13"/>
  <c r="PE84" i="13"/>
  <c r="PE90" i="13" s="1"/>
  <c r="PD84" i="13"/>
  <c r="PD90" i="13" s="1"/>
  <c r="PC84" i="13"/>
  <c r="PB84" i="13"/>
  <c r="PA84" i="13"/>
  <c r="PA90" i="13" s="1"/>
  <c r="OZ84" i="13"/>
  <c r="OZ90" i="13" s="1"/>
  <c r="OY84" i="13"/>
  <c r="OX84" i="13"/>
  <c r="OW84" i="13"/>
  <c r="OW90" i="13" s="1"/>
  <c r="OV84" i="13"/>
  <c r="OU84" i="13"/>
  <c r="PF83" i="13"/>
  <c r="PE83" i="13"/>
  <c r="PD83" i="13"/>
  <c r="PC83" i="13"/>
  <c r="PB83" i="13"/>
  <c r="PA83" i="13"/>
  <c r="OZ83" i="13"/>
  <c r="OY83" i="13"/>
  <c r="OX83" i="13"/>
  <c r="OW83" i="13"/>
  <c r="OV83" i="13"/>
  <c r="PE82" i="13"/>
  <c r="PD82" i="13"/>
  <c r="PB82" i="13"/>
  <c r="PA82" i="13"/>
  <c r="OZ82" i="13"/>
  <c r="OY82" i="13"/>
  <c r="OX82" i="13"/>
  <c r="OW82" i="13"/>
  <c r="OV82" i="13"/>
  <c r="PB81" i="13"/>
  <c r="PA81" i="13"/>
  <c r="OZ81" i="13"/>
  <c r="OY81" i="13"/>
  <c r="PF80" i="13"/>
  <c r="PE80" i="13"/>
  <c r="PD80" i="13"/>
  <c r="PC80" i="13"/>
  <c r="PB80" i="13"/>
  <c r="PA80" i="13"/>
  <c r="OZ80" i="13"/>
  <c r="OX80" i="13"/>
  <c r="OW80" i="13"/>
  <c r="OV80" i="13"/>
  <c r="OU80" i="13"/>
  <c r="PE79" i="13"/>
  <c r="PC79" i="13"/>
  <c r="PA79" i="13"/>
  <c r="OZ79" i="13"/>
  <c r="OW79" i="13"/>
  <c r="OV79" i="13"/>
  <c r="PF78" i="13"/>
  <c r="PE78" i="13"/>
  <c r="PD78" i="13"/>
  <c r="PC78" i="13"/>
  <c r="PB78" i="13"/>
  <c r="PA78" i="13"/>
  <c r="OZ78" i="13"/>
  <c r="OY78" i="13"/>
  <c r="OX78" i="13"/>
  <c r="OW78" i="13"/>
  <c r="OV78" i="13"/>
  <c r="OU78" i="13"/>
  <c r="PF77" i="13"/>
  <c r="PE77" i="13"/>
  <c r="PD77" i="13"/>
  <c r="PC77" i="13"/>
  <c r="PA77" i="13"/>
  <c r="OZ77" i="13"/>
  <c r="OY77" i="13"/>
  <c r="OX77" i="13"/>
  <c r="OW77" i="13"/>
  <c r="OV77" i="13"/>
  <c r="PF76" i="13"/>
  <c r="PE76" i="13"/>
  <c r="PD76" i="13"/>
  <c r="PC76" i="13"/>
  <c r="PB76" i="13"/>
  <c r="PA76" i="13"/>
  <c r="OZ76" i="13"/>
  <c r="OY76" i="13"/>
  <c r="OW76" i="13"/>
  <c r="OV76" i="13"/>
  <c r="OU76" i="13"/>
  <c r="PE75" i="13"/>
  <c r="PD75" i="13"/>
  <c r="PC75" i="13"/>
  <c r="PB75" i="13"/>
  <c r="PA75" i="13"/>
  <c r="OZ75" i="13"/>
  <c r="OY75" i="13"/>
  <c r="OW75" i="13"/>
  <c r="OV75" i="13"/>
  <c r="PF74" i="13"/>
  <c r="PE74" i="13"/>
  <c r="PD74" i="13"/>
  <c r="PC74" i="13"/>
  <c r="PB74" i="13"/>
  <c r="PA74" i="13"/>
  <c r="OZ74" i="13"/>
  <c r="OW74" i="13"/>
  <c r="OV74" i="13"/>
  <c r="PF73" i="13"/>
  <c r="PE73" i="13"/>
  <c r="PD73" i="13"/>
  <c r="PC73" i="13"/>
  <c r="PB73" i="13"/>
  <c r="PA73" i="13"/>
  <c r="OX73" i="13"/>
  <c r="OW73" i="13"/>
  <c r="OV73" i="13"/>
  <c r="OU73" i="13"/>
  <c r="PF72" i="13"/>
  <c r="PE72" i="13"/>
  <c r="PD72" i="13"/>
  <c r="PC72" i="13"/>
  <c r="PB72" i="13"/>
  <c r="PA72" i="13"/>
  <c r="OZ72" i="13"/>
  <c r="OY72" i="13"/>
  <c r="OW72" i="13"/>
  <c r="OV72" i="13"/>
  <c r="PF71" i="13"/>
  <c r="PE71" i="13"/>
  <c r="PD71" i="13"/>
  <c r="PC71" i="13"/>
  <c r="PA71" i="13"/>
  <c r="OZ71" i="13"/>
  <c r="OX71" i="13"/>
  <c r="OW71" i="13"/>
  <c r="OV71" i="13"/>
  <c r="PF70" i="13"/>
  <c r="PE70" i="13"/>
  <c r="PD70" i="13"/>
  <c r="PC70" i="13"/>
  <c r="PB70" i="13"/>
  <c r="PA70" i="13"/>
  <c r="OZ70" i="13"/>
  <c r="OY70" i="13"/>
  <c r="OX70" i="13"/>
  <c r="OW70" i="13"/>
  <c r="OV70" i="13"/>
  <c r="OU70" i="13"/>
  <c r="PE69" i="13"/>
  <c r="PD69" i="13"/>
  <c r="PC69" i="13"/>
  <c r="PA69" i="13"/>
  <c r="OZ69" i="13"/>
  <c r="OY69" i="13"/>
  <c r="OX69" i="13"/>
  <c r="OW69" i="13"/>
  <c r="PF68" i="13"/>
  <c r="PE68" i="13"/>
  <c r="PD68" i="13"/>
  <c r="PC68" i="13"/>
  <c r="PB68" i="13"/>
  <c r="PA68" i="13"/>
  <c r="OZ68" i="13"/>
  <c r="OY68" i="13"/>
  <c r="OX68" i="13"/>
  <c r="OW68" i="13"/>
  <c r="OV68" i="13"/>
  <c r="OU68" i="13"/>
  <c r="PF67" i="13"/>
  <c r="PE67" i="13"/>
  <c r="PD67" i="13"/>
  <c r="PC67" i="13"/>
  <c r="PB67" i="13"/>
  <c r="PA67" i="13"/>
  <c r="OZ67" i="13"/>
  <c r="OY67" i="13"/>
  <c r="OW67" i="13"/>
  <c r="OV67" i="13"/>
  <c r="PF66" i="13"/>
  <c r="PE66" i="13"/>
  <c r="PD66" i="13"/>
  <c r="PB66" i="13"/>
  <c r="PA66" i="13"/>
  <c r="OZ66" i="13"/>
  <c r="OX66" i="13"/>
  <c r="OW66" i="13"/>
  <c r="OV66" i="13"/>
  <c r="OR87" i="13"/>
  <c r="OQ87" i="13"/>
  <c r="OP87" i="13"/>
  <c r="OO87" i="13"/>
  <c r="ON87" i="13"/>
  <c r="OM87" i="13"/>
  <c r="OL87" i="13"/>
  <c r="OK87" i="13"/>
  <c r="OJ87" i="13"/>
  <c r="OI87" i="13"/>
  <c r="OH87" i="13"/>
  <c r="OG87" i="13"/>
  <c r="OF87" i="13"/>
  <c r="OE87" i="13"/>
  <c r="OR85" i="13"/>
  <c r="OQ85" i="13"/>
  <c r="OP85" i="13"/>
  <c r="OO85" i="13"/>
  <c r="ON85" i="13"/>
  <c r="OM85" i="13"/>
  <c r="OL85" i="13"/>
  <c r="OK85" i="13"/>
  <c r="OJ85" i="13"/>
  <c r="OI85" i="13"/>
  <c r="OH85" i="13"/>
  <c r="OG85" i="13"/>
  <c r="OF85" i="13"/>
  <c r="OE85" i="13"/>
  <c r="OR84" i="13"/>
  <c r="OQ84" i="13"/>
  <c r="OP84" i="13"/>
  <c r="OO84" i="13"/>
  <c r="ON84" i="13"/>
  <c r="OM84" i="13"/>
  <c r="OL84" i="13"/>
  <c r="OK84" i="13"/>
  <c r="OJ84" i="13"/>
  <c r="OI84" i="13"/>
  <c r="OH84" i="13"/>
  <c r="OG84" i="13"/>
  <c r="OF84" i="13"/>
  <c r="OE84" i="13"/>
  <c r="OR81" i="13"/>
  <c r="OQ81" i="13"/>
  <c r="OP81" i="13"/>
  <c r="OO81" i="13"/>
  <c r="ON81" i="13"/>
  <c r="OM81" i="13"/>
  <c r="OL81" i="13"/>
  <c r="OR78" i="13"/>
  <c r="OQ78" i="13"/>
  <c r="OP78" i="13"/>
  <c r="OO78" i="13"/>
  <c r="ON78" i="13"/>
  <c r="OM78" i="13"/>
  <c r="OL78" i="13"/>
  <c r="OK78" i="13"/>
  <c r="OJ78" i="13"/>
  <c r="OI78" i="13"/>
  <c r="OH78" i="13"/>
  <c r="OG78" i="13"/>
  <c r="OF78" i="13"/>
  <c r="OE78" i="13"/>
  <c r="OR68" i="13"/>
  <c r="OQ68" i="13"/>
  <c r="OP68" i="13"/>
  <c r="OO68" i="13"/>
  <c r="ON68" i="13"/>
  <c r="OM68" i="13"/>
  <c r="OL68" i="13"/>
  <c r="OK68" i="13"/>
  <c r="OJ68" i="13"/>
  <c r="OI68" i="13"/>
  <c r="OH68" i="13"/>
  <c r="OG68" i="13"/>
  <c r="OF68" i="13"/>
  <c r="OE68" i="13"/>
  <c r="OB87" i="13"/>
  <c r="OA87" i="13"/>
  <c r="NZ87" i="13"/>
  <c r="NY87" i="13"/>
  <c r="NX87" i="13"/>
  <c r="NW87" i="13"/>
  <c r="NV87" i="13"/>
  <c r="NU87" i="13"/>
  <c r="NZ86" i="13"/>
  <c r="NY86" i="13"/>
  <c r="OB85" i="13"/>
  <c r="OA85" i="13"/>
  <c r="NZ85" i="13"/>
  <c r="NY85" i="13"/>
  <c r="NX85" i="13"/>
  <c r="NW85" i="13"/>
  <c r="NV85" i="13"/>
  <c r="NU85" i="13"/>
  <c r="OB84" i="13"/>
  <c r="OA84" i="13"/>
  <c r="NZ84" i="13"/>
  <c r="NY84" i="13"/>
  <c r="NX84" i="13"/>
  <c r="NW84" i="13"/>
  <c r="NV84" i="13"/>
  <c r="NU84" i="13"/>
  <c r="OB83" i="13"/>
  <c r="OA83" i="13"/>
  <c r="NY83" i="13"/>
  <c r="NX83" i="13"/>
  <c r="NW83" i="13"/>
  <c r="NV83" i="13"/>
  <c r="NU83" i="13"/>
  <c r="NY82" i="13"/>
  <c r="NX82" i="13"/>
  <c r="NW82" i="13"/>
  <c r="NV82" i="13"/>
  <c r="NU82" i="13"/>
  <c r="OB81" i="13"/>
  <c r="OA81" i="13"/>
  <c r="NZ81" i="13"/>
  <c r="NY81" i="13"/>
  <c r="NX81" i="13"/>
  <c r="NW81" i="13"/>
  <c r="NV81" i="13"/>
  <c r="NU81" i="13"/>
  <c r="OB80" i="13"/>
  <c r="NY80" i="13"/>
  <c r="NX80" i="13"/>
  <c r="OB79" i="13"/>
  <c r="NY79" i="13"/>
  <c r="NU79" i="13"/>
  <c r="OB78" i="13"/>
  <c r="OA78" i="13"/>
  <c r="NZ78" i="13"/>
  <c r="NY78" i="13"/>
  <c r="NX78" i="13"/>
  <c r="NW78" i="13"/>
  <c r="NV78" i="13"/>
  <c r="NU78" i="13"/>
  <c r="OB77" i="13"/>
  <c r="NY77" i="13"/>
  <c r="NW77" i="13"/>
  <c r="NU77" i="13"/>
  <c r="OA76" i="13"/>
  <c r="NY76" i="13"/>
  <c r="NU76" i="13"/>
  <c r="OB75" i="13"/>
  <c r="NY75" i="13"/>
  <c r="NU75" i="13"/>
  <c r="OB74" i="13"/>
  <c r="NY74" i="13"/>
  <c r="NX74" i="13"/>
  <c r="NW74" i="13"/>
  <c r="NU74" i="13"/>
  <c r="OB73" i="13"/>
  <c r="NY73" i="13"/>
  <c r="NW73" i="13"/>
  <c r="NU73" i="13"/>
  <c r="OB72" i="13"/>
  <c r="NY72" i="13"/>
  <c r="NX72" i="13"/>
  <c r="NW72" i="13"/>
  <c r="NU72" i="13"/>
  <c r="OB71" i="13"/>
  <c r="NZ71" i="13"/>
  <c r="NY71" i="13"/>
  <c r="NX71" i="13"/>
  <c r="NW71" i="13"/>
  <c r="NV71" i="13"/>
  <c r="NU71" i="13"/>
  <c r="OB70" i="13"/>
  <c r="NX70" i="13"/>
  <c r="NW70" i="13"/>
  <c r="NU70" i="13"/>
  <c r="OB69" i="13"/>
  <c r="NZ69" i="13"/>
  <c r="NY69" i="13"/>
  <c r="NX69" i="13"/>
  <c r="NV69" i="13"/>
  <c r="NU69" i="13"/>
  <c r="OB68" i="13"/>
  <c r="OA68" i="13"/>
  <c r="NZ68" i="13"/>
  <c r="NY68" i="13"/>
  <c r="NX68" i="13"/>
  <c r="NW68" i="13"/>
  <c r="NV68" i="13"/>
  <c r="NU68" i="13"/>
  <c r="NY67" i="13"/>
  <c r="NU67" i="13"/>
  <c r="OB66" i="13"/>
  <c r="OA66" i="13"/>
  <c r="NZ66" i="13"/>
  <c r="NY66" i="13"/>
  <c r="NR87" i="13"/>
  <c r="NQ87" i="13"/>
  <c r="NP87" i="13"/>
  <c r="NR85" i="13"/>
  <c r="NQ85" i="13"/>
  <c r="NP85" i="13"/>
  <c r="NR84" i="13"/>
  <c r="NQ84" i="13"/>
  <c r="NP84" i="13"/>
  <c r="NR81" i="13"/>
  <c r="NQ81" i="13"/>
  <c r="NP81" i="13"/>
  <c r="NR78" i="13"/>
  <c r="NQ78" i="13"/>
  <c r="NP78" i="13"/>
  <c r="NR68" i="13"/>
  <c r="NQ68" i="13"/>
  <c r="NP68" i="13"/>
  <c r="NO87" i="13"/>
  <c r="NN87" i="13"/>
  <c r="NO85" i="13"/>
  <c r="NN85" i="13"/>
  <c r="NO84" i="13"/>
  <c r="NN84" i="13"/>
  <c r="NO81" i="13"/>
  <c r="NN81" i="13"/>
  <c r="NO78" i="13"/>
  <c r="NN78" i="13"/>
  <c r="NO68" i="13"/>
  <c r="NN68" i="13"/>
  <c r="NM87" i="13"/>
  <c r="NL87" i="13"/>
  <c r="NK87" i="13"/>
  <c r="NM85" i="13"/>
  <c r="NL85" i="13"/>
  <c r="NK85" i="13"/>
  <c r="NM84" i="13"/>
  <c r="NL84" i="13"/>
  <c r="NK84" i="13"/>
  <c r="NM81" i="13"/>
  <c r="NL81" i="13"/>
  <c r="NK81" i="13"/>
  <c r="NM78" i="13"/>
  <c r="NL78" i="13"/>
  <c r="NK78" i="13"/>
  <c r="NM68" i="13"/>
  <c r="NL68" i="13"/>
  <c r="NK68" i="13"/>
  <c r="NJ87" i="13"/>
  <c r="NI87" i="13"/>
  <c r="NJ85" i="13"/>
  <c r="NI85" i="13"/>
  <c r="NJ84" i="13"/>
  <c r="NI84" i="13"/>
  <c r="NJ81" i="13"/>
  <c r="NI81" i="13"/>
  <c r="NJ78" i="13"/>
  <c r="NI78" i="13"/>
  <c r="NJ68" i="13"/>
  <c r="NI68" i="13"/>
  <c r="NZ90" i="13" l="1"/>
  <c r="NX75" i="13"/>
  <c r="OA86" i="13"/>
  <c r="OA90" i="13" s="1"/>
  <c r="PB69" i="13"/>
  <c r="PF69" i="13"/>
  <c r="PC82" i="13"/>
  <c r="OA67" i="13"/>
  <c r="OX75" i="13"/>
  <c r="PF75" i="13"/>
  <c r="OU79" i="13"/>
  <c r="OY79" i="13"/>
  <c r="NW80" i="13"/>
  <c r="OX67" i="13"/>
  <c r="OX79" i="13"/>
  <c r="PK73" i="13"/>
  <c r="OB76" i="13"/>
  <c r="NY70" i="13"/>
  <c r="NY88" i="13" s="1"/>
  <c r="NU80" i="13"/>
  <c r="NU89" i="13" s="1"/>
  <c r="NU86" i="13"/>
  <c r="NU90" i="13" s="1"/>
  <c r="PD79" i="13"/>
  <c r="PI75" i="13"/>
  <c r="PI88" i="13" s="1"/>
  <c r="PB71" i="13"/>
  <c r="OX72" i="13"/>
  <c r="OX74" i="13"/>
  <c r="OX76" i="13"/>
  <c r="PB77" i="13"/>
  <c r="PF82" i="13"/>
  <c r="OX81" i="13"/>
  <c r="PK81" i="13"/>
  <c r="NW75" i="13"/>
  <c r="NW79" i="13"/>
  <c r="OA79" i="13"/>
  <c r="PB79" i="13"/>
  <c r="PB89" i="13" s="1"/>
  <c r="NX76" i="13"/>
  <c r="OB82" i="13"/>
  <c r="OB89" i="13" s="1"/>
  <c r="OY66" i="13"/>
  <c r="PC66" i="13"/>
  <c r="PC88" i="13" s="1"/>
  <c r="OU81" i="13"/>
  <c r="PL81" i="13"/>
  <c r="OV81" i="13"/>
  <c r="OV89" i="13" s="1"/>
  <c r="PI81" i="13"/>
  <c r="PI89" i="13" s="1"/>
  <c r="PF79" i="13"/>
  <c r="OW81" i="13"/>
  <c r="OW89" i="13" s="1"/>
  <c r="PJ81" i="13"/>
  <c r="PJ89" i="13" s="1"/>
  <c r="PN89" i="13"/>
  <c r="OG81" i="13"/>
  <c r="PC81" i="13"/>
  <c r="OH81" i="13"/>
  <c r="PD81" i="13"/>
  <c r="PL66" i="13"/>
  <c r="OE81" i="13"/>
  <c r="OI81" i="13"/>
  <c r="PE81" i="13"/>
  <c r="PE89" i="13" s="1"/>
  <c r="OK81" i="13"/>
  <c r="OF81" i="13"/>
  <c r="OJ81" i="13"/>
  <c r="PF81" i="13"/>
  <c r="OU71" i="13"/>
  <c r="NZ72" i="13"/>
  <c r="NZ74" i="13"/>
  <c r="NZ75" i="13"/>
  <c r="NZ76" i="13"/>
  <c r="NX77" i="13"/>
  <c r="NX79" i="13"/>
  <c r="NX89" i="13" s="1"/>
  <c r="NZ77" i="13"/>
  <c r="NZ83" i="13"/>
  <c r="PK80" i="13"/>
  <c r="OA77" i="13"/>
  <c r="OV69" i="13"/>
  <c r="OV88" i="13" s="1"/>
  <c r="NV79" i="13"/>
  <c r="NZ82" i="13"/>
  <c r="OU72" i="13"/>
  <c r="OU82" i="13"/>
  <c r="NW69" i="13"/>
  <c r="OA69" i="13"/>
  <c r="OA70" i="13"/>
  <c r="OA71" i="13"/>
  <c r="OA72" i="13"/>
  <c r="OA73" i="13"/>
  <c r="OA74" i="13"/>
  <c r="OA75" i="13"/>
  <c r="NX86" i="13"/>
  <c r="NX90" i="13" s="1"/>
  <c r="OA82" i="13"/>
  <c r="NW86" i="13"/>
  <c r="NW90" i="13" s="1"/>
  <c r="OZ73" i="13"/>
  <c r="OZ88" i="13" s="1"/>
  <c r="PL67" i="13"/>
  <c r="PL74" i="13"/>
  <c r="PL75" i="13"/>
  <c r="PL76" i="13"/>
  <c r="PL86" i="13"/>
  <c r="PL90" i="13" s="1"/>
  <c r="NU66" i="13"/>
  <c r="NU88" i="13" s="1"/>
  <c r="NV77" i="13"/>
  <c r="OU74" i="13"/>
  <c r="OY80" i="13"/>
  <c r="OY89" i="13" s="1"/>
  <c r="PK86" i="13"/>
  <c r="PK90" i="13" s="1"/>
  <c r="NW67" i="13"/>
  <c r="PL70" i="13"/>
  <c r="NV67" i="13"/>
  <c r="NV74" i="13"/>
  <c r="NV75" i="13"/>
  <c r="NV76" i="13"/>
  <c r="NZ79" i="13"/>
  <c r="OY71" i="13"/>
  <c r="OY74" i="13"/>
  <c r="OU77" i="13"/>
  <c r="OU83" i="13"/>
  <c r="OA80" i="13"/>
  <c r="PL79" i="13"/>
  <c r="NV70" i="13"/>
  <c r="NV86" i="13"/>
  <c r="NV90" i="13" s="1"/>
  <c r="OY73" i="13"/>
  <c r="NX67" i="13"/>
  <c r="NW76" i="13"/>
  <c r="PP88" i="13"/>
  <c r="PL82" i="13"/>
  <c r="NW66" i="13"/>
  <c r="NZ67" i="13"/>
  <c r="NV80" i="13"/>
  <c r="OU66" i="13"/>
  <c r="OU69" i="13"/>
  <c r="OU75" i="13"/>
  <c r="PK67" i="13"/>
  <c r="NX73" i="13"/>
  <c r="NV66" i="13"/>
  <c r="OB67" i="13"/>
  <c r="PK82" i="13"/>
  <c r="NO71" i="13"/>
  <c r="NJ77" i="13"/>
  <c r="NO67" i="13"/>
  <c r="NK70" i="13"/>
  <c r="NK72" i="13"/>
  <c r="NK74" i="13"/>
  <c r="NQ71" i="13"/>
  <c r="NR77" i="13"/>
  <c r="PP90" i="13"/>
  <c r="OY90" i="13"/>
  <c r="PA89" i="13"/>
  <c r="PB90" i="13"/>
  <c r="PA88" i="13"/>
  <c r="PO90" i="13"/>
  <c r="NQ70" i="13"/>
  <c r="NQ72" i="13"/>
  <c r="NP80" i="13"/>
  <c r="OB86" i="13"/>
  <c r="OB90" i="13" s="1"/>
  <c r="NN69" i="13"/>
  <c r="NN70" i="13"/>
  <c r="NN73" i="13"/>
  <c r="NN74" i="13"/>
  <c r="NR66" i="13"/>
  <c r="NP67" i="13"/>
  <c r="NP69" i="13"/>
  <c r="NR70" i="13"/>
  <c r="NP71" i="13"/>
  <c r="NR72" i="13"/>
  <c r="NP73" i="13"/>
  <c r="NR74" i="13"/>
  <c r="NP75" i="13"/>
  <c r="NQ75" i="13"/>
  <c r="NP76" i="13"/>
  <c r="NQ77" i="13"/>
  <c r="NP79" i="13"/>
  <c r="NQ79" i="13"/>
  <c r="NQ80" i="13"/>
  <c r="NP82" i="13"/>
  <c r="NQ82" i="13"/>
  <c r="NP86" i="13"/>
  <c r="NP90" i="13" s="1"/>
  <c r="PJ88" i="13"/>
  <c r="PN88" i="13"/>
  <c r="PJ90" i="13"/>
  <c r="PN90" i="13"/>
  <c r="PI90" i="13"/>
  <c r="OZ89" i="13"/>
  <c r="NQ74" i="13"/>
  <c r="NP77" i="13"/>
  <c r="NX66" i="13"/>
  <c r="NN66" i="13"/>
  <c r="NN71" i="13"/>
  <c r="NI69" i="13"/>
  <c r="NI77" i="13"/>
  <c r="NO66" i="13"/>
  <c r="NO70" i="13"/>
  <c r="NO74" i="13"/>
  <c r="NO75" i="13"/>
  <c r="NO79" i="13"/>
  <c r="NO82" i="13"/>
  <c r="NO86" i="13"/>
  <c r="NO90" i="13" s="1"/>
  <c r="NQ69" i="13"/>
  <c r="NQ73" i="13"/>
  <c r="NR80" i="13"/>
  <c r="PM90" i="13"/>
  <c r="PD88" i="13"/>
  <c r="PF90" i="13"/>
  <c r="PE88" i="13"/>
  <c r="PC90" i="13"/>
  <c r="OH66" i="13"/>
  <c r="OL66" i="13"/>
  <c r="OP66" i="13"/>
  <c r="OF67" i="13"/>
  <c r="OJ67" i="13"/>
  <c r="ON67" i="13"/>
  <c r="OR67" i="13"/>
  <c r="OH69" i="13"/>
  <c r="OL69" i="13"/>
  <c r="OP69" i="13"/>
  <c r="OR69" i="13"/>
  <c r="OH70" i="13"/>
  <c r="OL70" i="13"/>
  <c r="OP70" i="13"/>
  <c r="OH71" i="13"/>
  <c r="OL71" i="13"/>
  <c r="OP71" i="13"/>
  <c r="OH72" i="13"/>
  <c r="OL72" i="13"/>
  <c r="OP72" i="13"/>
  <c r="OH73" i="13"/>
  <c r="OL73" i="13"/>
  <c r="OP73" i="13"/>
  <c r="OH74" i="13"/>
  <c r="OL74" i="13"/>
  <c r="OP74" i="13"/>
  <c r="OH75" i="13"/>
  <c r="OL75" i="13"/>
  <c r="OP75" i="13"/>
  <c r="OH76" i="13"/>
  <c r="OL76" i="13"/>
  <c r="OP76" i="13"/>
  <c r="OF77" i="13"/>
  <c r="OJ77" i="13"/>
  <c r="ON77" i="13"/>
  <c r="OR77" i="13"/>
  <c r="OH79" i="13"/>
  <c r="OL79" i="13"/>
  <c r="OP79" i="13"/>
  <c r="OF80" i="13"/>
  <c r="OJ80" i="13"/>
  <c r="ON80" i="13"/>
  <c r="OR80" i="13"/>
  <c r="OH82" i="13"/>
  <c r="OL82" i="13"/>
  <c r="OP82" i="13"/>
  <c r="OH83" i="13"/>
  <c r="OL83" i="13"/>
  <c r="OP83" i="13"/>
  <c r="OF86" i="13"/>
  <c r="OF90" i="13" s="1"/>
  <c r="OJ86" i="13"/>
  <c r="OJ90" i="13" s="1"/>
  <c r="ON86" i="13"/>
  <c r="ON90" i="13" s="1"/>
  <c r="OR86" i="13"/>
  <c r="OR90" i="13" s="1"/>
  <c r="OI86" i="13"/>
  <c r="OI90" i="13" s="1"/>
  <c r="OM86" i="13"/>
  <c r="OM90" i="13" s="1"/>
  <c r="OU67" i="13"/>
  <c r="OU90" i="13"/>
  <c r="OV90" i="13"/>
  <c r="OW88" i="13"/>
  <c r="OX90" i="13"/>
  <c r="OE66" i="13"/>
  <c r="OI66" i="13"/>
  <c r="OM66" i="13"/>
  <c r="OQ66" i="13"/>
  <c r="OG67" i="13"/>
  <c r="OK67" i="13"/>
  <c r="OO67" i="13"/>
  <c r="OE67" i="13"/>
  <c r="OE69" i="13"/>
  <c r="OI69" i="13"/>
  <c r="OM69" i="13"/>
  <c r="OQ69" i="13"/>
  <c r="OE70" i="13"/>
  <c r="OI70" i="13"/>
  <c r="OM70" i="13"/>
  <c r="OQ70" i="13"/>
  <c r="OE71" i="13"/>
  <c r="OI71" i="13"/>
  <c r="OM71" i="13"/>
  <c r="OQ71" i="13"/>
  <c r="OE72" i="13"/>
  <c r="OI72" i="13"/>
  <c r="OM72" i="13"/>
  <c r="OQ72" i="13"/>
  <c r="OG72" i="13"/>
  <c r="OK72" i="13"/>
  <c r="OO72" i="13"/>
  <c r="OE73" i="13"/>
  <c r="OI73" i="13"/>
  <c r="OM73" i="13"/>
  <c r="OQ73" i="13"/>
  <c r="OE74" i="13"/>
  <c r="OI74" i="13"/>
  <c r="OM74" i="13"/>
  <c r="OQ74" i="13"/>
  <c r="OE75" i="13"/>
  <c r="OI75" i="13"/>
  <c r="OM75" i="13"/>
  <c r="OQ75" i="13"/>
  <c r="OE76" i="13"/>
  <c r="OI76" i="13"/>
  <c r="OM76" i="13"/>
  <c r="OQ76" i="13"/>
  <c r="OG76" i="13"/>
  <c r="OK76" i="13"/>
  <c r="OO76" i="13"/>
  <c r="OG77" i="13"/>
  <c r="OK77" i="13"/>
  <c r="OO77" i="13"/>
  <c r="OE79" i="13"/>
  <c r="OI79" i="13"/>
  <c r="OM79" i="13"/>
  <c r="OQ79" i="13"/>
  <c r="OG80" i="13"/>
  <c r="OK80" i="13"/>
  <c r="OO80" i="13"/>
  <c r="OE82" i="13"/>
  <c r="OI82" i="13"/>
  <c r="OM82" i="13"/>
  <c r="OQ82" i="13"/>
  <c r="OE83" i="13"/>
  <c r="OI83" i="13"/>
  <c r="OM83" i="13"/>
  <c r="OQ83" i="13"/>
  <c r="OG86" i="13"/>
  <c r="OG90" i="13" s="1"/>
  <c r="OK86" i="13"/>
  <c r="OK90" i="13" s="1"/>
  <c r="OO86" i="13"/>
  <c r="OO90" i="13" s="1"/>
  <c r="OQ86" i="13"/>
  <c r="OQ90" i="13" s="1"/>
  <c r="NN75" i="13"/>
  <c r="NZ80" i="13"/>
  <c r="NQ76" i="13"/>
  <c r="NY89" i="13"/>
  <c r="NJ80" i="13"/>
  <c r="NL66" i="13"/>
  <c r="NM66" i="13"/>
  <c r="NM67" i="13"/>
  <c r="NL70" i="13"/>
  <c r="NM70" i="13"/>
  <c r="NL72" i="13"/>
  <c r="NM72" i="13"/>
  <c r="NL74" i="13"/>
  <c r="NM74" i="13"/>
  <c r="NK76" i="13"/>
  <c r="NK77" i="13"/>
  <c r="NL77" i="13"/>
  <c r="NK80" i="13"/>
  <c r="NK82" i="13"/>
  <c r="NL83" i="13"/>
  <c r="NM86" i="13"/>
  <c r="NM90" i="13" s="1"/>
  <c r="NN67" i="13"/>
  <c r="NN72" i="13"/>
  <c r="NN76" i="13"/>
  <c r="NN77" i="13"/>
  <c r="NN80" i="13"/>
  <c r="NN83" i="13"/>
  <c r="NN86" i="13"/>
  <c r="NN90" i="13" s="1"/>
  <c r="NP66" i="13"/>
  <c r="NQ67" i="13"/>
  <c r="NR69" i="13"/>
  <c r="NP70" i="13"/>
  <c r="NR71" i="13"/>
  <c r="NP72" i="13"/>
  <c r="NR73" i="13"/>
  <c r="NP74" i="13"/>
  <c r="NR75" i="13"/>
  <c r="NR76" i="13"/>
  <c r="NR79" i="13"/>
  <c r="NR82" i="13"/>
  <c r="NP83" i="13"/>
  <c r="NR83" i="13"/>
  <c r="NQ86" i="13"/>
  <c r="NQ90" i="13" s="1"/>
  <c r="NN79" i="13"/>
  <c r="NN82" i="13"/>
  <c r="NI67" i="13"/>
  <c r="NJ67" i="13"/>
  <c r="NI66" i="13"/>
  <c r="NI70" i="13"/>
  <c r="NI71" i="13"/>
  <c r="NI72" i="13"/>
  <c r="NI73" i="13"/>
  <c r="NI74" i="13"/>
  <c r="NI75" i="13"/>
  <c r="NI79" i="13"/>
  <c r="NI82" i="13"/>
  <c r="NI83" i="13"/>
  <c r="NO69" i="13"/>
  <c r="NO72" i="13"/>
  <c r="NO73" i="13"/>
  <c r="NO76" i="13"/>
  <c r="NO77" i="13"/>
  <c r="NO80" i="13"/>
  <c r="NO83" i="13"/>
  <c r="NQ66" i="13"/>
  <c r="NR67" i="13"/>
  <c r="NQ83" i="13"/>
  <c r="NR86" i="13"/>
  <c r="NR90" i="13" s="1"/>
  <c r="NY90" i="13"/>
  <c r="OG82" i="13"/>
  <c r="OK82" i="13"/>
  <c r="OO82" i="13"/>
  <c r="OG83" i="13"/>
  <c r="OK83" i="13"/>
  <c r="OO83" i="13"/>
  <c r="OE86" i="13"/>
  <c r="OE90" i="13" s="1"/>
  <c r="NK69" i="13"/>
  <c r="NK75" i="13"/>
  <c r="NK79" i="13"/>
  <c r="NL80" i="13"/>
  <c r="NM83" i="13"/>
  <c r="OL67" i="13"/>
  <c r="ON73" i="13"/>
  <c r="NJ69" i="13"/>
  <c r="NJ72" i="13"/>
  <c r="NJ75" i="13"/>
  <c r="NJ82" i="13"/>
  <c r="NJ83" i="13"/>
  <c r="NL76" i="13"/>
  <c r="NL79" i="13"/>
  <c r="NL82" i="13"/>
  <c r="NJ86" i="13"/>
  <c r="NJ90" i="13" s="1"/>
  <c r="NZ70" i="13"/>
  <c r="NV72" i="13"/>
  <c r="NV73" i="13"/>
  <c r="NZ73" i="13"/>
  <c r="NI76" i="13"/>
  <c r="NK71" i="13"/>
  <c r="NK73" i="13"/>
  <c r="NJ66" i="13"/>
  <c r="NJ70" i="13"/>
  <c r="NJ71" i="13"/>
  <c r="NJ73" i="13"/>
  <c r="NJ74" i="13"/>
  <c r="NJ76" i="13"/>
  <c r="NJ79" i="13"/>
  <c r="NK66" i="13"/>
  <c r="NK67" i="13"/>
  <c r="NL67" i="13"/>
  <c r="NL69" i="13"/>
  <c r="NL71" i="13"/>
  <c r="NL73" i="13"/>
  <c r="NL75" i="13"/>
  <c r="NM76" i="13"/>
  <c r="NM77" i="13"/>
  <c r="NM80" i="13"/>
  <c r="NM82" i="13"/>
  <c r="NK86" i="13"/>
  <c r="NK90" i="13" s="1"/>
  <c r="NI80" i="13"/>
  <c r="NI86" i="13"/>
  <c r="NI90" i="13" s="1"/>
  <c r="NM69" i="13"/>
  <c r="NM71" i="13"/>
  <c r="NM73" i="13"/>
  <c r="NM75" i="13"/>
  <c r="NM79" i="13"/>
  <c r="NK83" i="13"/>
  <c r="NL86" i="13"/>
  <c r="NL90" i="13" s="1"/>
  <c r="OF66" i="13"/>
  <c r="OJ66" i="13"/>
  <c r="ON66" i="13"/>
  <c r="OR66" i="13"/>
  <c r="OH67" i="13"/>
  <c r="OP67" i="13"/>
  <c r="OF69" i="13"/>
  <c r="OJ69" i="13"/>
  <c r="ON69" i="13"/>
  <c r="OF70" i="13"/>
  <c r="OJ70" i="13"/>
  <c r="ON70" i="13"/>
  <c r="OR70" i="13"/>
  <c r="OF71" i="13"/>
  <c r="OJ71" i="13"/>
  <c r="ON71" i="13"/>
  <c r="OR71" i="13"/>
  <c r="OF72" i="13"/>
  <c r="OJ72" i="13"/>
  <c r="ON72" i="13"/>
  <c r="OR72" i="13"/>
  <c r="OF73" i="13"/>
  <c r="OJ73" i="13"/>
  <c r="OR73" i="13"/>
  <c r="OF74" i="13"/>
  <c r="OJ74" i="13"/>
  <c r="ON74" i="13"/>
  <c r="OR74" i="13"/>
  <c r="OF75" i="13"/>
  <c r="OJ75" i="13"/>
  <c r="ON75" i="13"/>
  <c r="OR75" i="13"/>
  <c r="OF76" i="13"/>
  <c r="OJ76" i="13"/>
  <c r="ON76" i="13"/>
  <c r="OR76" i="13"/>
  <c r="OH77" i="13"/>
  <c r="OL77" i="13"/>
  <c r="OP77" i="13"/>
  <c r="OF79" i="13"/>
  <c r="OJ79" i="13"/>
  <c r="ON79" i="13"/>
  <c r="OR79" i="13"/>
  <c r="OH80" i="13"/>
  <c r="OL80" i="13"/>
  <c r="OP80" i="13"/>
  <c r="OF82" i="13"/>
  <c r="OJ82" i="13"/>
  <c r="ON82" i="13"/>
  <c r="OR82" i="13"/>
  <c r="OF83" i="13"/>
  <c r="OJ83" i="13"/>
  <c r="ON83" i="13"/>
  <c r="OR83" i="13"/>
  <c r="OH86" i="13"/>
  <c r="OH90" i="13" s="1"/>
  <c r="OL86" i="13"/>
  <c r="OL90" i="13" s="1"/>
  <c r="OP86" i="13"/>
  <c r="OP90" i="13" s="1"/>
  <c r="OG66" i="13"/>
  <c r="OK66" i="13"/>
  <c r="OO66" i="13"/>
  <c r="OI67" i="13"/>
  <c r="OM67" i="13"/>
  <c r="OQ67" i="13"/>
  <c r="OG69" i="13"/>
  <c r="OK69" i="13"/>
  <c r="OO69" i="13"/>
  <c r="OG70" i="13"/>
  <c r="OK70" i="13"/>
  <c r="OO70" i="13"/>
  <c r="OG71" i="13"/>
  <c r="OK71" i="13"/>
  <c r="OO71" i="13"/>
  <c r="OG73" i="13"/>
  <c r="OK73" i="13"/>
  <c r="OO73" i="13"/>
  <c r="OG74" i="13"/>
  <c r="OK74" i="13"/>
  <c r="OO74" i="13"/>
  <c r="OG75" i="13"/>
  <c r="OK75" i="13"/>
  <c r="OO75" i="13"/>
  <c r="OE77" i="13"/>
  <c r="OI77" i="13"/>
  <c r="OM77" i="13"/>
  <c r="OQ77" i="13"/>
  <c r="OG79" i="13"/>
  <c r="OK79" i="13"/>
  <c r="OO79" i="13"/>
  <c r="OE80" i="13"/>
  <c r="OI80" i="13"/>
  <c r="OM80" i="13"/>
  <c r="OQ80" i="13"/>
  <c r="PD89" i="13" l="1"/>
  <c r="PL89" i="13"/>
  <c r="PF88" i="13"/>
  <c r="PC89" i="13"/>
  <c r="PK88" i="13"/>
  <c r="NW89" i="13"/>
  <c r="PB88" i="13"/>
  <c r="PB91" i="13" s="1"/>
  <c r="PO89" i="13"/>
  <c r="OB88" i="13"/>
  <c r="OB91" i="13" s="1"/>
  <c r="E65" i="22" s="1"/>
  <c r="PK89" i="13"/>
  <c r="OX89" i="13"/>
  <c r="PM88" i="13"/>
  <c r="PM89" i="13"/>
  <c r="OX88" i="13"/>
  <c r="OW91" i="13"/>
  <c r="OU89" i="13"/>
  <c r="PF89" i="13"/>
  <c r="PD91" i="13"/>
  <c r="C23" i="37" s="1"/>
  <c r="OA89" i="13"/>
  <c r="PP89" i="13"/>
  <c r="PP91" i="13" s="1"/>
  <c r="OA88" i="13"/>
  <c r="PO88" i="13"/>
  <c r="NV89" i="13"/>
  <c r="PL88" i="13"/>
  <c r="PL91" i="13" s="1"/>
  <c r="NW88" i="13"/>
  <c r="NZ89" i="13"/>
  <c r="OY88" i="13"/>
  <c r="OY91" i="13" s="1"/>
  <c r="NX88" i="13"/>
  <c r="NX91" i="13" s="1"/>
  <c r="OU88" i="13"/>
  <c r="NQ89" i="13"/>
  <c r="NZ88" i="13"/>
  <c r="PA91" i="13"/>
  <c r="PE91" i="13"/>
  <c r="D23" i="37" s="1"/>
  <c r="NP89" i="13"/>
  <c r="NO89" i="13"/>
  <c r="NQ88" i="13"/>
  <c r="PN91" i="13"/>
  <c r="OP89" i="13"/>
  <c r="OH89" i="13"/>
  <c r="OF89" i="13"/>
  <c r="NV88" i="13"/>
  <c r="NR88" i="13"/>
  <c r="NR89" i="13"/>
  <c r="NN88" i="13"/>
  <c r="OE89" i="13"/>
  <c r="OL89" i="13"/>
  <c r="PJ91" i="13"/>
  <c r="NI89" i="13"/>
  <c r="OZ91" i="13"/>
  <c r="OE88" i="13"/>
  <c r="NN89" i="13"/>
  <c r="NP88" i="13"/>
  <c r="NY91" i="13"/>
  <c r="B65" i="22" s="1"/>
  <c r="NL89" i="13"/>
  <c r="NO88" i="13"/>
  <c r="NI88" i="13"/>
  <c r="OV91" i="13"/>
  <c r="PC91" i="13"/>
  <c r="B23" i="37" s="1"/>
  <c r="PI91" i="13"/>
  <c r="OQ89" i="13"/>
  <c r="OL88" i="13"/>
  <c r="OO89" i="13"/>
  <c r="OK89" i="13"/>
  <c r="OQ88" i="13"/>
  <c r="OP88" i="13"/>
  <c r="OM89" i="13"/>
  <c r="OI89" i="13"/>
  <c r="OG89" i="13"/>
  <c r="OM88" i="13"/>
  <c r="ON89" i="13"/>
  <c r="OI88" i="13"/>
  <c r="OH88" i="13"/>
  <c r="NM89" i="13"/>
  <c r="NM88" i="13"/>
  <c r="NL88" i="13"/>
  <c r="NJ89" i="13"/>
  <c r="NJ88" i="13"/>
  <c r="NK88" i="13"/>
  <c r="NK89" i="13"/>
  <c r="OO88" i="13"/>
  <c r="OR89" i="13"/>
  <c r="ON88" i="13"/>
  <c r="NU91" i="13"/>
  <c r="OK88" i="13"/>
  <c r="OJ88" i="13"/>
  <c r="OR88" i="13"/>
  <c r="OG88" i="13"/>
  <c r="OJ89" i="13"/>
  <c r="OF88" i="13"/>
  <c r="NF87" i="13"/>
  <c r="NE87" i="13"/>
  <c r="ND87" i="13"/>
  <c r="NC87" i="13"/>
  <c r="NB87" i="13"/>
  <c r="NA87" i="13"/>
  <c r="MZ87" i="13"/>
  <c r="MY87" i="13"/>
  <c r="MX87" i="13"/>
  <c r="NF85" i="13"/>
  <c r="NE85" i="13"/>
  <c r="ND85" i="13"/>
  <c r="NC85" i="13"/>
  <c r="NB85" i="13"/>
  <c r="NA85" i="13"/>
  <c r="MZ85" i="13"/>
  <c r="MY85" i="13"/>
  <c r="MX85" i="13"/>
  <c r="NF84" i="13"/>
  <c r="NE84" i="13"/>
  <c r="ND84" i="13"/>
  <c r="NC84" i="13"/>
  <c r="NB84" i="13"/>
  <c r="NA84" i="13"/>
  <c r="MZ84" i="13"/>
  <c r="MY84" i="13"/>
  <c r="MX84" i="13"/>
  <c r="NF81" i="13"/>
  <c r="NE81" i="13"/>
  <c r="ND81" i="13"/>
  <c r="NC81" i="13"/>
  <c r="NB81" i="13"/>
  <c r="NA81" i="13"/>
  <c r="MZ81" i="13"/>
  <c r="MY81" i="13"/>
  <c r="MX81" i="13"/>
  <c r="NF78" i="13"/>
  <c r="NE78" i="13"/>
  <c r="ND78" i="13"/>
  <c r="NC78" i="13"/>
  <c r="NB78" i="13"/>
  <c r="NA78" i="13"/>
  <c r="MZ78" i="13"/>
  <c r="MY78" i="13"/>
  <c r="MX78" i="13"/>
  <c r="NF68" i="13"/>
  <c r="NE68" i="13"/>
  <c r="ND68" i="13"/>
  <c r="NC68" i="13"/>
  <c r="NB68" i="13"/>
  <c r="NA68" i="13"/>
  <c r="MZ68" i="13"/>
  <c r="MY68" i="13"/>
  <c r="MX68" i="13"/>
  <c r="MX99" i="13"/>
  <c r="MU87" i="13"/>
  <c r="MT87" i="13"/>
  <c r="MS87" i="13"/>
  <c r="MR87" i="13"/>
  <c r="MQ87" i="13"/>
  <c r="MP87" i="13"/>
  <c r="MO87" i="13"/>
  <c r="MN87" i="13"/>
  <c r="MM87" i="13"/>
  <c r="ML87" i="13"/>
  <c r="MK87" i="13"/>
  <c r="MJ87" i="13"/>
  <c r="MI87" i="13"/>
  <c r="MH87" i="13"/>
  <c r="MG87" i="13"/>
  <c r="MF87" i="13"/>
  <c r="ME87" i="13"/>
  <c r="MD87" i="13"/>
  <c r="MU85" i="13"/>
  <c r="MT85" i="13"/>
  <c r="MS85" i="13"/>
  <c r="MR85" i="13"/>
  <c r="MQ85" i="13"/>
  <c r="MP85" i="13"/>
  <c r="MO85" i="13"/>
  <c r="MN85" i="13"/>
  <c r="MM85" i="13"/>
  <c r="ML85" i="13"/>
  <c r="MK85" i="13"/>
  <c r="MJ85" i="13"/>
  <c r="MI85" i="13"/>
  <c r="MH85" i="13"/>
  <c r="MG85" i="13"/>
  <c r="MF85" i="13"/>
  <c r="ME85" i="13"/>
  <c r="MD85" i="13"/>
  <c r="MU84" i="13"/>
  <c r="MT84" i="13"/>
  <c r="MS84" i="13"/>
  <c r="MR84" i="13"/>
  <c r="MQ84" i="13"/>
  <c r="MP84" i="13"/>
  <c r="MO84" i="13"/>
  <c r="MN84" i="13"/>
  <c r="MM84" i="13"/>
  <c r="ML84" i="13"/>
  <c r="MK84" i="13"/>
  <c r="MJ84" i="13"/>
  <c r="MI84" i="13"/>
  <c r="MH84" i="13"/>
  <c r="MG84" i="13"/>
  <c r="MF84" i="13"/>
  <c r="ME84" i="13"/>
  <c r="MD84" i="13"/>
  <c r="MU81" i="13"/>
  <c r="MT81" i="13"/>
  <c r="MS81" i="13"/>
  <c r="MR81" i="13"/>
  <c r="MQ81" i="13"/>
  <c r="MP81" i="13"/>
  <c r="MO81" i="13"/>
  <c r="MN81" i="13"/>
  <c r="MM81" i="13"/>
  <c r="ML81" i="13"/>
  <c r="MK81" i="13"/>
  <c r="MJ81" i="13"/>
  <c r="MI81" i="13"/>
  <c r="MH81" i="13"/>
  <c r="MG81" i="13"/>
  <c r="MF81" i="13"/>
  <c r="ME81" i="13"/>
  <c r="MD81" i="13"/>
  <c r="MU78" i="13"/>
  <c r="MT78" i="13"/>
  <c r="MS78" i="13"/>
  <c r="MR78" i="13"/>
  <c r="MQ78" i="13"/>
  <c r="MP78" i="13"/>
  <c r="MO78" i="13"/>
  <c r="MN78" i="13"/>
  <c r="MM78" i="13"/>
  <c r="ML78" i="13"/>
  <c r="MK78" i="13"/>
  <c r="MJ78" i="13"/>
  <c r="MI78" i="13"/>
  <c r="MH78" i="13"/>
  <c r="MG78" i="13"/>
  <c r="MF78" i="13"/>
  <c r="ME78" i="13"/>
  <c r="MD78" i="13"/>
  <c r="MU68" i="13"/>
  <c r="MT68" i="13"/>
  <c r="MS68" i="13"/>
  <c r="MR68" i="13"/>
  <c r="MQ68" i="13"/>
  <c r="MP68" i="13"/>
  <c r="MO68" i="13"/>
  <c r="MN68" i="13"/>
  <c r="MM68" i="13"/>
  <c r="ML68" i="13"/>
  <c r="MK68" i="13"/>
  <c r="MJ68" i="13"/>
  <c r="MI68" i="13"/>
  <c r="MH68" i="13"/>
  <c r="MG68" i="13"/>
  <c r="MF68" i="13"/>
  <c r="ME68" i="13"/>
  <c r="MD68" i="13"/>
  <c r="MA87" i="13"/>
  <c r="LZ87" i="13"/>
  <c r="LY87" i="13"/>
  <c r="LX87" i="13"/>
  <c r="LW87" i="13"/>
  <c r="LV87" i="13"/>
  <c r="LU87" i="13"/>
  <c r="LT87" i="13"/>
  <c r="LS87" i="13"/>
  <c r="LR87" i="13"/>
  <c r="LQ87" i="13"/>
  <c r="LP87" i="13"/>
  <c r="LO87" i="13"/>
  <c r="LN87" i="13"/>
  <c r="LM87" i="13"/>
  <c r="LL87" i="13"/>
  <c r="LK87" i="13"/>
  <c r="LJ87" i="13"/>
  <c r="MA85" i="13"/>
  <c r="LZ85" i="13"/>
  <c r="LY85" i="13"/>
  <c r="LX85" i="13"/>
  <c r="LW85" i="13"/>
  <c r="LV85" i="13"/>
  <c r="LU85" i="13"/>
  <c r="LT85" i="13"/>
  <c r="LS85" i="13"/>
  <c r="LR85" i="13"/>
  <c r="LQ85" i="13"/>
  <c r="LP85" i="13"/>
  <c r="LO85" i="13"/>
  <c r="LN85" i="13"/>
  <c r="LM85" i="13"/>
  <c r="LL85" i="13"/>
  <c r="LK85" i="13"/>
  <c r="LJ85" i="13"/>
  <c r="MA84" i="13"/>
  <c r="LZ84" i="13"/>
  <c r="LY84" i="13"/>
  <c r="LX84" i="13"/>
  <c r="LW84" i="13"/>
  <c r="LV84" i="13"/>
  <c r="LU84" i="13"/>
  <c r="LT84" i="13"/>
  <c r="LS84" i="13"/>
  <c r="LR84" i="13"/>
  <c r="LQ84" i="13"/>
  <c r="LP84" i="13"/>
  <c r="LO84" i="13"/>
  <c r="LN84" i="13"/>
  <c r="LM84" i="13"/>
  <c r="LL84" i="13"/>
  <c r="LK84" i="13"/>
  <c r="LJ84" i="13"/>
  <c r="MA81" i="13"/>
  <c r="LZ81" i="13"/>
  <c r="LY81" i="13"/>
  <c r="LX81" i="13"/>
  <c r="LW81" i="13"/>
  <c r="LV81" i="13"/>
  <c r="LU81" i="13"/>
  <c r="LT81" i="13"/>
  <c r="LS81" i="13"/>
  <c r="LR81" i="13"/>
  <c r="LQ81" i="13"/>
  <c r="LP81" i="13"/>
  <c r="LO81" i="13"/>
  <c r="LN81" i="13"/>
  <c r="LM81" i="13"/>
  <c r="LL81" i="13"/>
  <c r="LK81" i="13"/>
  <c r="LJ81" i="13"/>
  <c r="MA78" i="13"/>
  <c r="LZ78" i="13"/>
  <c r="LY78" i="13"/>
  <c r="LX78" i="13"/>
  <c r="LW78" i="13"/>
  <c r="LV78" i="13"/>
  <c r="LU78" i="13"/>
  <c r="LT78" i="13"/>
  <c r="LS78" i="13"/>
  <c r="LR78" i="13"/>
  <c r="LQ78" i="13"/>
  <c r="LP78" i="13"/>
  <c r="LO78" i="13"/>
  <c r="LN78" i="13"/>
  <c r="LM78" i="13"/>
  <c r="LL78" i="13"/>
  <c r="LK78" i="13"/>
  <c r="LJ78" i="13"/>
  <c r="MA68" i="13"/>
  <c r="LZ68" i="13"/>
  <c r="LY68" i="13"/>
  <c r="LX68" i="13"/>
  <c r="LW68" i="13"/>
  <c r="LV68" i="13"/>
  <c r="LU68" i="13"/>
  <c r="LT68" i="13"/>
  <c r="LS68" i="13"/>
  <c r="LR68" i="13"/>
  <c r="LQ68" i="13"/>
  <c r="LP68" i="13"/>
  <c r="LO68" i="13"/>
  <c r="LN68" i="13"/>
  <c r="LM68" i="13"/>
  <c r="LL68" i="13"/>
  <c r="LK68" i="13"/>
  <c r="LJ68" i="13"/>
  <c r="MY103" i="13" l="1"/>
  <c r="MX103" i="13"/>
  <c r="PK91" i="13"/>
  <c r="OX91" i="13"/>
  <c r="PO91" i="13"/>
  <c r="NW91" i="13"/>
  <c r="PM91" i="13"/>
  <c r="OU91" i="13"/>
  <c r="NV91" i="13"/>
  <c r="PF91" i="13"/>
  <c r="E23" i="37" s="1"/>
  <c r="OA91" i="13"/>
  <c r="D65" i="22" s="1"/>
  <c r="NZ91" i="13"/>
  <c r="C65" i="22" s="1"/>
  <c r="NQ91" i="13"/>
  <c r="E55" i="22" s="1"/>
  <c r="NN91" i="13"/>
  <c r="B55" i="22" s="1"/>
  <c r="OE91" i="13"/>
  <c r="OP91" i="13"/>
  <c r="NO91" i="13"/>
  <c r="C55" i="22" s="1"/>
  <c r="NJ91" i="13"/>
  <c r="NM91" i="13"/>
  <c r="OO91" i="13"/>
  <c r="OL91" i="13"/>
  <c r="NP91" i="13"/>
  <c r="D55" i="22" s="1"/>
  <c r="NR91" i="13"/>
  <c r="F55" i="22" s="1"/>
  <c r="NK91" i="13"/>
  <c r="NL91" i="13"/>
  <c r="OF91" i="13"/>
  <c r="OG91" i="13"/>
  <c r="OQ91" i="13"/>
  <c r="OH91" i="13"/>
  <c r="NI91" i="13"/>
  <c r="LY66" i="13"/>
  <c r="LW67" i="13"/>
  <c r="LY69" i="13"/>
  <c r="LY70" i="13"/>
  <c r="LY71" i="13"/>
  <c r="LY72" i="13"/>
  <c r="LY73" i="13"/>
  <c r="LW73" i="13"/>
  <c r="LY74" i="13"/>
  <c r="LY75" i="13"/>
  <c r="LY76" i="13"/>
  <c r="LW77" i="13"/>
  <c r="LY79" i="13"/>
  <c r="MA80" i="13"/>
  <c r="LY82" i="13"/>
  <c r="LY83" i="13"/>
  <c r="MP66" i="13"/>
  <c r="MT66" i="13"/>
  <c r="MR67" i="13"/>
  <c r="MP69" i="13"/>
  <c r="MT69" i="13"/>
  <c r="MP70" i="13"/>
  <c r="MT70" i="13"/>
  <c r="MP71" i="13"/>
  <c r="MT71" i="13"/>
  <c r="MT72" i="13"/>
  <c r="MT74" i="13"/>
  <c r="MP75" i="13"/>
  <c r="MP76" i="13"/>
  <c r="MT76" i="13"/>
  <c r="MT79" i="13"/>
  <c r="OI91" i="13"/>
  <c r="OM91" i="13"/>
  <c r="OK91" i="13"/>
  <c r="OR91" i="13"/>
  <c r="NF80" i="13"/>
  <c r="ON91" i="13"/>
  <c r="NE70" i="13"/>
  <c r="NE72" i="13"/>
  <c r="NE74" i="13"/>
  <c r="NF77" i="13"/>
  <c r="OJ91" i="13"/>
  <c r="G9" i="37" s="1"/>
  <c r="NB69" i="13"/>
  <c r="NB71" i="13"/>
  <c r="NB73" i="13"/>
  <c r="NA77" i="13"/>
  <c r="NA80" i="13"/>
  <c r="NA72" i="13"/>
  <c r="NA74" i="13"/>
  <c r="NB77" i="13"/>
  <c r="NB80" i="13"/>
  <c r="NF69" i="13"/>
  <c r="ND70" i="13"/>
  <c r="NF71" i="13"/>
  <c r="ND72" i="13"/>
  <c r="NF73" i="13"/>
  <c r="ND74" i="13"/>
  <c r="NE77" i="13"/>
  <c r="NE80" i="13"/>
  <c r="MD66" i="13"/>
  <c r="MH66" i="13"/>
  <c r="MF67" i="13"/>
  <c r="MD69" i="13"/>
  <c r="MH69" i="13"/>
  <c r="MD70" i="13"/>
  <c r="MH70" i="13"/>
  <c r="MD71" i="13"/>
  <c r="MH71" i="13"/>
  <c r="MD72" i="13"/>
  <c r="MH72" i="13"/>
  <c r="MD73" i="13"/>
  <c r="MH74" i="13"/>
  <c r="MD76" i="13"/>
  <c r="MH76" i="13"/>
  <c r="MX69" i="13"/>
  <c r="MZ70" i="13"/>
  <c r="MX71" i="13"/>
  <c r="MZ72" i="13"/>
  <c r="MX73" i="13"/>
  <c r="MZ74" i="13"/>
  <c r="NE66" i="13"/>
  <c r="NE73" i="13"/>
  <c r="NF75" i="13"/>
  <c r="NE83" i="13"/>
  <c r="MK66" i="13"/>
  <c r="MO66" i="13"/>
  <c r="MS66" i="13"/>
  <c r="MO69" i="13"/>
  <c r="MS69" i="13"/>
  <c r="MI69" i="13"/>
  <c r="MG71" i="13"/>
  <c r="MG72" i="13"/>
  <c r="MK72" i="13"/>
  <c r="MO72" i="13"/>
  <c r="MS72" i="13"/>
  <c r="MG73" i="13"/>
  <c r="MK73" i="13"/>
  <c r="MO73" i="13"/>
  <c r="MS73" i="13"/>
  <c r="MU73" i="13"/>
  <c r="MG74" i="13"/>
  <c r="MK74" i="13"/>
  <c r="MO74" i="13"/>
  <c r="MS74" i="13"/>
  <c r="MU74" i="13"/>
  <c r="MG75" i="13"/>
  <c r="MK75" i="13"/>
  <c r="MO75" i="13"/>
  <c r="MS75" i="13"/>
  <c r="MG76" i="13"/>
  <c r="MK76" i="13"/>
  <c r="MO76" i="13"/>
  <c r="MS76" i="13"/>
  <c r="ME77" i="13"/>
  <c r="MI77" i="13"/>
  <c r="MM77" i="13"/>
  <c r="MQ77" i="13"/>
  <c r="MY66" i="13"/>
  <c r="NC66" i="13"/>
  <c r="NF66" i="13"/>
  <c r="NE67" i="13"/>
  <c r="MZ69" i="13"/>
  <c r="ND69" i="13"/>
  <c r="MX70" i="13"/>
  <c r="NF70" i="13"/>
  <c r="NA70" i="13"/>
  <c r="MZ71" i="13"/>
  <c r="ND71" i="13"/>
  <c r="MX72" i="13"/>
  <c r="NF72" i="13"/>
  <c r="MZ73" i="13"/>
  <c r="ND73" i="13"/>
  <c r="NF74" i="13"/>
  <c r="MZ75" i="13"/>
  <c r="ND75" i="13"/>
  <c r="MZ76" i="13"/>
  <c r="ND76" i="13"/>
  <c r="NF76" i="13"/>
  <c r="MY77" i="13"/>
  <c r="NC77" i="13"/>
  <c r="MZ79" i="13"/>
  <c r="ND79" i="13"/>
  <c r="MX79" i="13"/>
  <c r="NF79" i="13"/>
  <c r="MY80" i="13"/>
  <c r="NC80" i="13"/>
  <c r="MZ82" i="13"/>
  <c r="ND82" i="13"/>
  <c r="NF82" i="13"/>
  <c r="NF83" i="13"/>
  <c r="NE86" i="13"/>
  <c r="NE90" i="13" s="1"/>
  <c r="NF67" i="13"/>
  <c r="NE69" i="13"/>
  <c r="NE71" i="13"/>
  <c r="NE75" i="13"/>
  <c r="NE76" i="13"/>
  <c r="NE79" i="13"/>
  <c r="NE82" i="13"/>
  <c r="MY83" i="13"/>
  <c r="NC83" i="13"/>
  <c r="MX86" i="13"/>
  <c r="MX90" i="13" s="1"/>
  <c r="NB86" i="13"/>
  <c r="NB90" i="13" s="1"/>
  <c r="NF86" i="13"/>
  <c r="NF90" i="13" s="1"/>
  <c r="MX66" i="13"/>
  <c r="NB66" i="13"/>
  <c r="MX67" i="13"/>
  <c r="NB67" i="13"/>
  <c r="NA67" i="13"/>
  <c r="NA69" i="13"/>
  <c r="NB70" i="13"/>
  <c r="NA71" i="13"/>
  <c r="NB72" i="13"/>
  <c r="NA73" i="13"/>
  <c r="MX74" i="13"/>
  <c r="NB74" i="13"/>
  <c r="NA75" i="13"/>
  <c r="NA76" i="13"/>
  <c r="NA79" i="13"/>
  <c r="NA82" i="13"/>
  <c r="MX83" i="13"/>
  <c r="NB83" i="13"/>
  <c r="NA83" i="13"/>
  <c r="NA86" i="13"/>
  <c r="MK77" i="13"/>
  <c r="MS77" i="13"/>
  <c r="MI79" i="13"/>
  <c r="MQ79" i="13"/>
  <c r="MU79" i="13"/>
  <c r="MG80" i="13"/>
  <c r="MO80" i="13"/>
  <c r="ME82" i="13"/>
  <c r="MI82" i="13"/>
  <c r="MM82" i="13"/>
  <c r="MQ82" i="13"/>
  <c r="MI83" i="13"/>
  <c r="MM83" i="13"/>
  <c r="MQ83" i="13"/>
  <c r="NA66" i="13"/>
  <c r="MY67" i="13"/>
  <c r="NC67" i="13"/>
  <c r="MX75" i="13"/>
  <c r="NB75" i="13"/>
  <c r="MX76" i="13"/>
  <c r="NB76" i="13"/>
  <c r="NB79" i="13"/>
  <c r="MX82" i="13"/>
  <c r="NB82" i="13"/>
  <c r="MZ83" i="13"/>
  <c r="ND83" i="13"/>
  <c r="MY86" i="13"/>
  <c r="MY90" i="13" s="1"/>
  <c r="NC86" i="13"/>
  <c r="NC90" i="13" s="1"/>
  <c r="LW71" i="13"/>
  <c r="ME73" i="13"/>
  <c r="LZ86" i="13"/>
  <c r="LZ90" i="13" s="1"/>
  <c r="MR76" i="13"/>
  <c r="ML77" i="13"/>
  <c r="MP77" i="13"/>
  <c r="MT77" i="13"/>
  <c r="MR77" i="13"/>
  <c r="MJ79" i="13"/>
  <c r="MN79" i="13"/>
  <c r="MR79" i="13"/>
  <c r="MP79" i="13"/>
  <c r="ML80" i="13"/>
  <c r="MP80" i="13"/>
  <c r="MT80" i="13"/>
  <c r="MJ80" i="13"/>
  <c r="MJ82" i="13"/>
  <c r="MN82" i="13"/>
  <c r="MR82" i="13"/>
  <c r="MJ83" i="13"/>
  <c r="MN83" i="13"/>
  <c r="MR83" i="13"/>
  <c r="MT83" i="13"/>
  <c r="MD86" i="13"/>
  <c r="MD90" i="13" s="1"/>
  <c r="ML86" i="13"/>
  <c r="ML90" i="13" s="1"/>
  <c r="MP86" i="13"/>
  <c r="MP90" i="13" s="1"/>
  <c r="MT86" i="13"/>
  <c r="MT90" i="13" s="1"/>
  <c r="MR86" i="13"/>
  <c r="MR90" i="13" s="1"/>
  <c r="MZ67" i="13"/>
  <c r="ND67" i="13"/>
  <c r="MY69" i="13"/>
  <c r="NC69" i="13"/>
  <c r="MY71" i="13"/>
  <c r="NC71" i="13"/>
  <c r="MY73" i="13"/>
  <c r="NC73" i="13"/>
  <c r="MY75" i="13"/>
  <c r="NC75" i="13"/>
  <c r="MY76" i="13"/>
  <c r="NC76" i="13"/>
  <c r="MX77" i="13"/>
  <c r="MY79" i="13"/>
  <c r="NC79" i="13"/>
  <c r="MX80" i="13"/>
  <c r="MY82" i="13"/>
  <c r="NC82" i="13"/>
  <c r="MZ86" i="13"/>
  <c r="ND86" i="13"/>
  <c r="ME66" i="13"/>
  <c r="MI66" i="13"/>
  <c r="MQ66" i="13"/>
  <c r="MU66" i="13"/>
  <c r="MG67" i="13"/>
  <c r="MS67" i="13"/>
  <c r="ME69" i="13"/>
  <c r="MQ69" i="13"/>
  <c r="MU69" i="13"/>
  <c r="ME70" i="13"/>
  <c r="MI70" i="13"/>
  <c r="MM70" i="13"/>
  <c r="MQ70" i="13"/>
  <c r="MU70" i="13"/>
  <c r="ME71" i="13"/>
  <c r="MI71" i="13"/>
  <c r="MQ71" i="13"/>
  <c r="MU71" i="13"/>
  <c r="MS71" i="13"/>
  <c r="ME72" i="13"/>
  <c r="MI72" i="13"/>
  <c r="MQ72" i="13"/>
  <c r="MI73" i="13"/>
  <c r="MQ73" i="13"/>
  <c r="MI74" i="13"/>
  <c r="MQ74" i="13"/>
  <c r="ME75" i="13"/>
  <c r="MM75" i="13"/>
  <c r="MQ75" i="13"/>
  <c r="MU75" i="13"/>
  <c r="ND66" i="13"/>
  <c r="MZ66" i="13"/>
  <c r="MY70" i="13"/>
  <c r="NC70" i="13"/>
  <c r="MY72" i="13"/>
  <c r="NC72" i="13"/>
  <c r="MY74" i="13"/>
  <c r="NC74" i="13"/>
  <c r="MZ77" i="13"/>
  <c r="ND77" i="13"/>
  <c r="MZ80" i="13"/>
  <c r="ND80" i="13"/>
  <c r="MZ90" i="13"/>
  <c r="ND90" i="13"/>
  <c r="LS70" i="13"/>
  <c r="LW75" i="13"/>
  <c r="MN69" i="13"/>
  <c r="MR70" i="13"/>
  <c r="MJ72" i="13"/>
  <c r="MN72" i="13"/>
  <c r="MR72" i="13"/>
  <c r="MP72" i="13"/>
  <c r="MF73" i="13"/>
  <c r="MJ73" i="13"/>
  <c r="MN73" i="13"/>
  <c r="MR73" i="13"/>
  <c r="MJ74" i="13"/>
  <c r="MN74" i="13"/>
  <c r="MR74" i="13"/>
  <c r="MP74" i="13"/>
  <c r="MJ75" i="13"/>
  <c r="MN75" i="13"/>
  <c r="MR75" i="13"/>
  <c r="MT75" i="13"/>
  <c r="MJ76" i="13"/>
  <c r="ML76" i="13"/>
  <c r="MU77" i="13"/>
  <c r="MG79" i="13"/>
  <c r="MK79" i="13"/>
  <c r="MO79" i="13"/>
  <c r="MS79" i="13"/>
  <c r="ME80" i="13"/>
  <c r="MI80" i="13"/>
  <c r="MM80" i="13"/>
  <c r="MQ80" i="13"/>
  <c r="MU80" i="13"/>
  <c r="MS80" i="13"/>
  <c r="MG82" i="13"/>
  <c r="MK82" i="13"/>
  <c r="MO82" i="13"/>
  <c r="MS82" i="13"/>
  <c r="MU82" i="13"/>
  <c r="MG83" i="13"/>
  <c r="MK83" i="13"/>
  <c r="MO83" i="13"/>
  <c r="MS83" i="13"/>
  <c r="MU83" i="13"/>
  <c r="ME86" i="13"/>
  <c r="ME90" i="13" s="1"/>
  <c r="MI86" i="13"/>
  <c r="MI90" i="13" s="1"/>
  <c r="MM86" i="13"/>
  <c r="MM90" i="13" s="1"/>
  <c r="MQ86" i="13"/>
  <c r="MQ90" i="13" s="1"/>
  <c r="MU86" i="13"/>
  <c r="MU90" i="13" s="1"/>
  <c r="MD79" i="13"/>
  <c r="MH79" i="13"/>
  <c r="MF80" i="13"/>
  <c r="MN80" i="13"/>
  <c r="MR80" i="13"/>
  <c r="MH83" i="13"/>
  <c r="ML83" i="13"/>
  <c r="MP83" i="13"/>
  <c r="MF86" i="13"/>
  <c r="MF90" i="13" s="1"/>
  <c r="MJ86" i="13"/>
  <c r="MJ90" i="13" s="1"/>
  <c r="LQ75" i="13"/>
  <c r="LQ76" i="13"/>
  <c r="LU79" i="13"/>
  <c r="LQ83" i="13"/>
  <c r="MN67" i="13"/>
  <c r="ML69" i="13"/>
  <c r="ML70" i="13"/>
  <c r="MN70" i="13"/>
  <c r="ML71" i="13"/>
  <c r="ML72" i="13"/>
  <c r="ML74" i="13"/>
  <c r="ML75" i="13"/>
  <c r="MJ77" i="13"/>
  <c r="MN77" i="13"/>
  <c r="ML79" i="13"/>
  <c r="MN86" i="13"/>
  <c r="MN90" i="13" s="1"/>
  <c r="MN76" i="13"/>
  <c r="LQ69" i="13"/>
  <c r="LU69" i="13"/>
  <c r="LQ70" i="13"/>
  <c r="LU70" i="13"/>
  <c r="LQ71" i="13"/>
  <c r="LU71" i="13"/>
  <c r="LQ72" i="13"/>
  <c r="LU72" i="13"/>
  <c r="LQ73" i="13"/>
  <c r="LU73" i="13"/>
  <c r="LQ74" i="13"/>
  <c r="LU74" i="13"/>
  <c r="LU75" i="13"/>
  <c r="LU76" i="13"/>
  <c r="LS76" i="13"/>
  <c r="LQ79" i="13"/>
  <c r="LS80" i="13"/>
  <c r="LQ82" i="13"/>
  <c r="LU82" i="13"/>
  <c r="LU83" i="13"/>
  <c r="ML66" i="13"/>
  <c r="MJ67" i="13"/>
  <c r="MJ69" i="13"/>
  <c r="MM66" i="13"/>
  <c r="MK67" i="13"/>
  <c r="MO67" i="13"/>
  <c r="MM69" i="13"/>
  <c r="MM71" i="13"/>
  <c r="MM72" i="13"/>
  <c r="MM73" i="13"/>
  <c r="MM74" i="13"/>
  <c r="MO77" i="13"/>
  <c r="MM79" i="13"/>
  <c r="MK80" i="13"/>
  <c r="MD67" i="13"/>
  <c r="MF72" i="13"/>
  <c r="MF74" i="13"/>
  <c r="MD74" i="13"/>
  <c r="MF75" i="13"/>
  <c r="MD75" i="13"/>
  <c r="MH75" i="13"/>
  <c r="MF76" i="13"/>
  <c r="MD77" i="13"/>
  <c r="MH77" i="13"/>
  <c r="MF77" i="13"/>
  <c r="MF79" i="13"/>
  <c r="MD80" i="13"/>
  <c r="MH80" i="13"/>
  <c r="MF82" i="13"/>
  <c r="MD82" i="13"/>
  <c r="MH82" i="13"/>
  <c r="MF83" i="13"/>
  <c r="MD83" i="13"/>
  <c r="MH86" i="13"/>
  <c r="MH90" i="13" s="1"/>
  <c r="MG66" i="13"/>
  <c r="ME74" i="13"/>
  <c r="MI75" i="13"/>
  <c r="MG77" i="13"/>
  <c r="ME79" i="13"/>
  <c r="ME83" i="13"/>
  <c r="LV73" i="13"/>
  <c r="LZ73" i="13"/>
  <c r="LV74" i="13"/>
  <c r="LZ74" i="13"/>
  <c r="LV75" i="13"/>
  <c r="LZ75" i="13"/>
  <c r="LV76" i="13"/>
  <c r="LZ76" i="13"/>
  <c r="LX77" i="13"/>
  <c r="LV77" i="13"/>
  <c r="LZ77" i="13"/>
  <c r="LV79" i="13"/>
  <c r="LZ79" i="13"/>
  <c r="LX80" i="13"/>
  <c r="LV80" i="13"/>
  <c r="LZ80" i="13"/>
  <c r="LV82" i="13"/>
  <c r="LZ82" i="13"/>
  <c r="LV83" i="13"/>
  <c r="LZ83" i="13"/>
  <c r="LL86" i="13"/>
  <c r="LL90" i="13" s="1"/>
  <c r="LX86" i="13"/>
  <c r="LX90" i="13" s="1"/>
  <c r="LV86" i="13"/>
  <c r="LV90" i="13" s="1"/>
  <c r="MF66" i="13"/>
  <c r="MJ66" i="13"/>
  <c r="MN66" i="13"/>
  <c r="MR66" i="13"/>
  <c r="MH67" i="13"/>
  <c r="ML67" i="13"/>
  <c r="MP67" i="13"/>
  <c r="MT67" i="13"/>
  <c r="MF69" i="13"/>
  <c r="MR69" i="13"/>
  <c r="MF70" i="13"/>
  <c r="MJ70" i="13"/>
  <c r="MF71" i="13"/>
  <c r="MJ71" i="13"/>
  <c r="MN71" i="13"/>
  <c r="MR71" i="13"/>
  <c r="LV66" i="13"/>
  <c r="LZ66" i="13"/>
  <c r="LX67" i="13"/>
  <c r="LV67" i="13"/>
  <c r="LZ67" i="13"/>
  <c r="LV69" i="13"/>
  <c r="LZ69" i="13"/>
  <c r="LV70" i="13"/>
  <c r="LZ70" i="13"/>
  <c r="LV71" i="13"/>
  <c r="LZ71" i="13"/>
  <c r="LV72" i="13"/>
  <c r="LZ72" i="13"/>
  <c r="LW66" i="13"/>
  <c r="MA66" i="13"/>
  <c r="LY67" i="13"/>
  <c r="LO69" i="13"/>
  <c r="LW69" i="13"/>
  <c r="MA69" i="13"/>
  <c r="LK70" i="13"/>
  <c r="LO70" i="13"/>
  <c r="LW70" i="13"/>
  <c r="MA70" i="13"/>
  <c r="LK71" i="13"/>
  <c r="LO71" i="13"/>
  <c r="MA71" i="13"/>
  <c r="LK72" i="13"/>
  <c r="LO72" i="13"/>
  <c r="LS72" i="13"/>
  <c r="LW72" i="13"/>
  <c r="MA72" i="13"/>
  <c r="LK73" i="13"/>
  <c r="LO73" i="13"/>
  <c r="MA73" i="13"/>
  <c r="LK74" i="13"/>
  <c r="LO74" i="13"/>
  <c r="LS74" i="13"/>
  <c r="LW74" i="13"/>
  <c r="MA74" i="13"/>
  <c r="LK75" i="13"/>
  <c r="LO75" i="13"/>
  <c r="MA75" i="13"/>
  <c r="LK76" i="13"/>
  <c r="LO76" i="13"/>
  <c r="LW76" i="13"/>
  <c r="MA76" i="13"/>
  <c r="LM77" i="13"/>
  <c r="LY77" i="13"/>
  <c r="LK79" i="13"/>
  <c r="LO79" i="13"/>
  <c r="LW79" i="13"/>
  <c r="MA79" i="13"/>
  <c r="LM80" i="13"/>
  <c r="LY80" i="13"/>
  <c r="LK82" i="13"/>
  <c r="LO82" i="13"/>
  <c r="LW82" i="13"/>
  <c r="MA82" i="13"/>
  <c r="LK83" i="13"/>
  <c r="LO83" i="13"/>
  <c r="LW83" i="13"/>
  <c r="MA83" i="13"/>
  <c r="LM86" i="13"/>
  <c r="LM90" i="13" s="1"/>
  <c r="LY86" i="13"/>
  <c r="LY90" i="13" s="1"/>
  <c r="ME67" i="13"/>
  <c r="MI67" i="13"/>
  <c r="MM67" i="13"/>
  <c r="MQ67" i="13"/>
  <c r="MU67" i="13"/>
  <c r="MG69" i="13"/>
  <c r="MK69" i="13"/>
  <c r="MG70" i="13"/>
  <c r="MK70" i="13"/>
  <c r="MO70" i="13"/>
  <c r="MS70" i="13"/>
  <c r="MK71" i="13"/>
  <c r="MO71" i="13"/>
  <c r="MH73" i="13"/>
  <c r="ML73" i="13"/>
  <c r="MP73" i="13"/>
  <c r="MT73" i="13"/>
  <c r="ML82" i="13"/>
  <c r="MP82" i="13"/>
  <c r="MT82" i="13"/>
  <c r="MU72" i="13"/>
  <c r="ME76" i="13"/>
  <c r="MI76" i="13"/>
  <c r="MM76" i="13"/>
  <c r="MQ76" i="13"/>
  <c r="MU76" i="13"/>
  <c r="MG86" i="13"/>
  <c r="MG90" i="13" s="1"/>
  <c r="MK86" i="13"/>
  <c r="MK90" i="13" s="1"/>
  <c r="MO86" i="13"/>
  <c r="MO90" i="13" s="1"/>
  <c r="MS86" i="13"/>
  <c r="MS90" i="13" s="1"/>
  <c r="MA67" i="13"/>
  <c r="MA77" i="13"/>
  <c r="LW80" i="13"/>
  <c r="LW86" i="13"/>
  <c r="LW90" i="13" s="1"/>
  <c r="MA86" i="13"/>
  <c r="MA90" i="13" s="1"/>
  <c r="LP67" i="13"/>
  <c r="LT67" i="13"/>
  <c r="LR67" i="13"/>
  <c r="LR69" i="13"/>
  <c r="LR70" i="13"/>
  <c r="LR71" i="13"/>
  <c r="LR72" i="13"/>
  <c r="LR73" i="13"/>
  <c r="LR74" i="13"/>
  <c r="LR75" i="13"/>
  <c r="LR76" i="13"/>
  <c r="LP77" i="13"/>
  <c r="LT77" i="13"/>
  <c r="LR77" i="13"/>
  <c r="LR79" i="13"/>
  <c r="LP80" i="13"/>
  <c r="LT80" i="13"/>
  <c r="LR80" i="13"/>
  <c r="LR82" i="13"/>
  <c r="LR83" i="13"/>
  <c r="LP86" i="13"/>
  <c r="LP90" i="13" s="1"/>
  <c r="LT86" i="13"/>
  <c r="LT90" i="13" s="1"/>
  <c r="LR86" i="13"/>
  <c r="LR90" i="13" s="1"/>
  <c r="LQ67" i="13"/>
  <c r="LU67" i="13"/>
  <c r="LS67" i="13"/>
  <c r="LS69" i="13"/>
  <c r="LS71" i="13"/>
  <c r="LS73" i="13"/>
  <c r="LS75" i="13"/>
  <c r="LQ77" i="13"/>
  <c r="LU77" i="13"/>
  <c r="LS77" i="13"/>
  <c r="LS79" i="13"/>
  <c r="LQ80" i="13"/>
  <c r="LU80" i="13"/>
  <c r="LS82" i="13"/>
  <c r="LS83" i="13"/>
  <c r="LQ86" i="13"/>
  <c r="LQ90" i="13" s="1"/>
  <c r="LU86" i="13"/>
  <c r="LU90" i="13" s="1"/>
  <c r="LS86" i="13"/>
  <c r="LS90" i="13" s="1"/>
  <c r="LL67" i="13"/>
  <c r="LN67" i="13"/>
  <c r="LJ69" i="13"/>
  <c r="LN69" i="13"/>
  <c r="LL69" i="13"/>
  <c r="LJ70" i="13"/>
  <c r="LN70" i="13"/>
  <c r="LJ71" i="13"/>
  <c r="LN71" i="13"/>
  <c r="LJ72" i="13"/>
  <c r="LN72" i="13"/>
  <c r="LJ73" i="13"/>
  <c r="LN73" i="13"/>
  <c r="LL73" i="13"/>
  <c r="LJ74" i="13"/>
  <c r="LN74" i="13"/>
  <c r="LJ75" i="13"/>
  <c r="LN75" i="13"/>
  <c r="LJ76" i="13"/>
  <c r="LN76" i="13"/>
  <c r="LL77" i="13"/>
  <c r="LJ79" i="13"/>
  <c r="LN79" i="13"/>
  <c r="LL80" i="13"/>
  <c r="LJ82" i="13"/>
  <c r="LN82" i="13"/>
  <c r="LJ83" i="13"/>
  <c r="LN83" i="13"/>
  <c r="LX66" i="13"/>
  <c r="LP69" i="13"/>
  <c r="LT69" i="13"/>
  <c r="LX69" i="13"/>
  <c r="LP70" i="13"/>
  <c r="LT70" i="13"/>
  <c r="LX70" i="13"/>
  <c r="LP71" i="13"/>
  <c r="LT71" i="13"/>
  <c r="LX71" i="13"/>
  <c r="LP72" i="13"/>
  <c r="LT72" i="13"/>
  <c r="LX72" i="13"/>
  <c r="LP73" i="13"/>
  <c r="LT73" i="13"/>
  <c r="LX73" i="13"/>
  <c r="LP74" i="13"/>
  <c r="LT74" i="13"/>
  <c r="LX74" i="13"/>
  <c r="LP75" i="13"/>
  <c r="LT75" i="13"/>
  <c r="LX75" i="13"/>
  <c r="LP76" i="13"/>
  <c r="LT76" i="13"/>
  <c r="LX76" i="13"/>
  <c r="LP79" i="13"/>
  <c r="LT79" i="13"/>
  <c r="LX79" i="13"/>
  <c r="LP82" i="13"/>
  <c r="LT82" i="13"/>
  <c r="LX82" i="13"/>
  <c r="LP83" i="13"/>
  <c r="LT83" i="13"/>
  <c r="LX83" i="13"/>
  <c r="LM72" i="13"/>
  <c r="LM76" i="13"/>
  <c r="LK86" i="13"/>
  <c r="LK90" i="13" s="1"/>
  <c r="LO86" i="13"/>
  <c r="LO90" i="13" s="1"/>
  <c r="LJ80" i="13"/>
  <c r="LM67" i="13"/>
  <c r="LK69" i="13"/>
  <c r="LJ67" i="13"/>
  <c r="LL70" i="13"/>
  <c r="LL71" i="13"/>
  <c r="LL72" i="13"/>
  <c r="LL74" i="13"/>
  <c r="LL75" i="13"/>
  <c r="LL76" i="13"/>
  <c r="LJ77" i="13"/>
  <c r="LN77" i="13"/>
  <c r="LL79" i="13"/>
  <c r="LN80" i="13"/>
  <c r="LL82" i="13"/>
  <c r="LL83" i="13"/>
  <c r="LJ86" i="13"/>
  <c r="LJ90" i="13" s="1"/>
  <c r="LN86" i="13"/>
  <c r="LN90" i="13" s="1"/>
  <c r="LK67" i="13"/>
  <c r="LO67" i="13"/>
  <c r="LM69" i="13"/>
  <c r="LM70" i="13"/>
  <c r="LM71" i="13"/>
  <c r="LM73" i="13"/>
  <c r="LM74" i="13"/>
  <c r="LM75" i="13"/>
  <c r="LK77" i="13"/>
  <c r="LO77" i="13"/>
  <c r="LM79" i="13"/>
  <c r="LK80" i="13"/>
  <c r="LO80" i="13"/>
  <c r="LM82" i="13"/>
  <c r="LM83" i="13"/>
  <c r="LU66" i="13"/>
  <c r="LT66" i="13"/>
  <c r="LS66" i="13"/>
  <c r="LR66" i="13"/>
  <c r="LQ66" i="13"/>
  <c r="LP66" i="13"/>
  <c r="LO66" i="13"/>
  <c r="LN66" i="13"/>
  <c r="LM66" i="13"/>
  <c r="LL66" i="13"/>
  <c r="LK66" i="13"/>
  <c r="LJ66" i="13"/>
  <c r="LG87" i="13"/>
  <c r="LF87" i="13"/>
  <c r="LG85" i="13"/>
  <c r="LF85" i="13"/>
  <c r="LG84" i="13"/>
  <c r="LF84" i="13"/>
  <c r="LG81" i="13"/>
  <c r="LF81" i="13"/>
  <c r="LG78" i="13"/>
  <c r="LG68" i="13"/>
  <c r="LD87" i="13"/>
  <c r="LD85" i="13"/>
  <c r="LC85" i="13"/>
  <c r="LD84" i="13"/>
  <c r="LC84" i="13"/>
  <c r="LC81" i="13"/>
  <c r="LD78" i="13"/>
  <c r="LC78" i="13"/>
  <c r="LD68" i="13"/>
  <c r="LC68" i="13"/>
  <c r="LA87" i="13"/>
  <c r="LA85" i="13"/>
  <c r="KZ85" i="13"/>
  <c r="LA84" i="13"/>
  <c r="KZ84" i="13"/>
  <c r="LA81" i="13"/>
  <c r="KZ81" i="13"/>
  <c r="LA78" i="13"/>
  <c r="KZ78" i="13"/>
  <c r="LA68" i="13"/>
  <c r="NA90" i="13" l="1"/>
  <c r="C24" i="43"/>
  <c r="F9" i="37"/>
  <c r="E9" i="37"/>
  <c r="D9" i="37"/>
  <c r="B9" i="37"/>
  <c r="C9" i="37"/>
  <c r="H9" i="37"/>
  <c r="LY89" i="13"/>
  <c r="MU89" i="13"/>
  <c r="NE89" i="13"/>
  <c r="MJ89" i="13"/>
  <c r="NC89" i="13"/>
  <c r="MZ89" i="13"/>
  <c r="NF89" i="13"/>
  <c r="NF88" i="13"/>
  <c r="MM89" i="13"/>
  <c r="MG89" i="13"/>
  <c r="NE88" i="13"/>
  <c r="MT89" i="13"/>
  <c r="MY89" i="13"/>
  <c r="NA88" i="13"/>
  <c r="MI89" i="13"/>
  <c r="NA89" i="13"/>
  <c r="MX88" i="13"/>
  <c r="MT88" i="13"/>
  <c r="LF71" i="13"/>
  <c r="MP89" i="13"/>
  <c r="MY88" i="13"/>
  <c r="MY91" i="13" s="1"/>
  <c r="NB89" i="13"/>
  <c r="NB88" i="13"/>
  <c r="LG66" i="13"/>
  <c r="LG70" i="13"/>
  <c r="LG74" i="13"/>
  <c r="MA89" i="13"/>
  <c r="LV89" i="13"/>
  <c r="MK89" i="13"/>
  <c r="MR89" i="13"/>
  <c r="ND89" i="13"/>
  <c r="MX89" i="13"/>
  <c r="LY88" i="13"/>
  <c r="LY91" i="13" s="1"/>
  <c r="F11" i="22" s="1"/>
  <c r="LV88" i="13"/>
  <c r="MF89" i="13"/>
  <c r="MN89" i="13"/>
  <c r="NC88" i="13"/>
  <c r="LK89" i="13"/>
  <c r="MQ89" i="13"/>
  <c r="MQ88" i="13"/>
  <c r="MA88" i="13"/>
  <c r="LZ89" i="13"/>
  <c r="MD89" i="13"/>
  <c r="MS89" i="13"/>
  <c r="MO89" i="13"/>
  <c r="MS88" i="13"/>
  <c r="MK88" i="13"/>
  <c r="MP88" i="13"/>
  <c r="MP91" i="13" s="1"/>
  <c r="MN88" i="13"/>
  <c r="MH89" i="13"/>
  <c r="MZ88" i="13"/>
  <c r="MI88" i="13"/>
  <c r="LO89" i="13"/>
  <c r="ML88" i="13"/>
  <c r="ND88" i="13"/>
  <c r="MU88" i="13"/>
  <c r="LW88" i="13"/>
  <c r="LZ88" i="13"/>
  <c r="MD88" i="13"/>
  <c r="LU89" i="13"/>
  <c r="MM88" i="13"/>
  <c r="MM91" i="13" s="1"/>
  <c r="LS89" i="13"/>
  <c r="ML89" i="13"/>
  <c r="MO88" i="13"/>
  <c r="LQ89" i="13"/>
  <c r="LL89" i="13"/>
  <c r="MH88" i="13"/>
  <c r="MF88" i="13"/>
  <c r="MG88" i="13"/>
  <c r="ME88" i="13"/>
  <c r="ME89" i="13"/>
  <c r="LP88" i="13"/>
  <c r="LT88" i="13"/>
  <c r="LW89" i="13"/>
  <c r="MJ88" i="13"/>
  <c r="LR88" i="13"/>
  <c r="LR89" i="13"/>
  <c r="MR88" i="13"/>
  <c r="LX89" i="13"/>
  <c r="LX88" i="13"/>
  <c r="LQ88" i="13"/>
  <c r="LU88" i="13"/>
  <c r="LS88" i="13"/>
  <c r="LN89" i="13"/>
  <c r="LJ89" i="13"/>
  <c r="LD77" i="13"/>
  <c r="LD80" i="13"/>
  <c r="LT89" i="13"/>
  <c r="LP89" i="13"/>
  <c r="LA77" i="13"/>
  <c r="LK88" i="13"/>
  <c r="LO88" i="13"/>
  <c r="LM89" i="13"/>
  <c r="LM88" i="13"/>
  <c r="LJ88" i="13"/>
  <c r="LN88" i="13"/>
  <c r="LN91" i="13" s="1"/>
  <c r="LL88" i="13"/>
  <c r="LG80" i="13"/>
  <c r="KZ72" i="13"/>
  <c r="LA66" i="13"/>
  <c r="KZ71" i="13"/>
  <c r="KZ73" i="13"/>
  <c r="KZ76" i="13"/>
  <c r="KZ79" i="13"/>
  <c r="LA69" i="13"/>
  <c r="LA70" i="13"/>
  <c r="LA72" i="13"/>
  <c r="LA74" i="13"/>
  <c r="LA82" i="13"/>
  <c r="LA83" i="13"/>
  <c r="KZ66" i="13"/>
  <c r="LG76" i="13"/>
  <c r="KZ80" i="13"/>
  <c r="LD74" i="13"/>
  <c r="LC70" i="13"/>
  <c r="LC72" i="13"/>
  <c r="LC74" i="13"/>
  <c r="LC77" i="13"/>
  <c r="LC80" i="13"/>
  <c r="LC86" i="13"/>
  <c r="LG86" i="13"/>
  <c r="LG90" i="13" s="1"/>
  <c r="LD86" i="13"/>
  <c r="LD90" i="13" s="1"/>
  <c r="KZ75" i="13"/>
  <c r="KZ82" i="13"/>
  <c r="LG82" i="13"/>
  <c r="LA76" i="13"/>
  <c r="KZ77" i="13"/>
  <c r="KZ86" i="13"/>
  <c r="LC66" i="13"/>
  <c r="LC69" i="13"/>
  <c r="LC71" i="13"/>
  <c r="LC73" i="13"/>
  <c r="LC79" i="13"/>
  <c r="LC82" i="13"/>
  <c r="LG67" i="13"/>
  <c r="LG72" i="13"/>
  <c r="LG77" i="13"/>
  <c r="LA67" i="13"/>
  <c r="LA75" i="13"/>
  <c r="LA86" i="13"/>
  <c r="LA90" i="13" s="1"/>
  <c r="LD66" i="13"/>
  <c r="LD69" i="13"/>
  <c r="LD70" i="13"/>
  <c r="LD71" i="13"/>
  <c r="LD73" i="13"/>
  <c r="LD76" i="13"/>
  <c r="LD79" i="13"/>
  <c r="LD82" i="13"/>
  <c r="LF69" i="13"/>
  <c r="LF70" i="13"/>
  <c r="LF72" i="13"/>
  <c r="LF75" i="13"/>
  <c r="LF76" i="13"/>
  <c r="LF77" i="13"/>
  <c r="LF82" i="13"/>
  <c r="LF83" i="13"/>
  <c r="KZ68" i="13"/>
  <c r="LF86" i="13"/>
  <c r="LF90" i="13" s="1"/>
  <c r="LG71" i="13"/>
  <c r="KZ69" i="13"/>
  <c r="KZ67" i="13"/>
  <c r="LA80" i="13"/>
  <c r="LA71" i="13"/>
  <c r="LA79" i="13"/>
  <c r="LC67" i="13"/>
  <c r="LD75" i="13"/>
  <c r="LD72" i="13"/>
  <c r="LG75" i="13"/>
  <c r="LG83" i="13"/>
  <c r="LF67" i="13"/>
  <c r="LA73" i="13"/>
  <c r="LD81" i="13"/>
  <c r="LD83" i="13"/>
  <c r="LF80" i="13"/>
  <c r="KZ70" i="13"/>
  <c r="KZ74" i="13"/>
  <c r="LC75" i="13"/>
  <c r="LC76" i="13"/>
  <c r="LF66" i="13"/>
  <c r="LF73" i="13"/>
  <c r="LF74" i="13"/>
  <c r="LF79" i="13"/>
  <c r="LC83" i="13"/>
  <c r="LC87" i="13"/>
  <c r="LC90" i="13" s="1"/>
  <c r="LG69" i="13"/>
  <c r="LG73" i="13"/>
  <c r="LG79" i="13"/>
  <c r="KZ83" i="13"/>
  <c r="KZ87" i="13"/>
  <c r="LD67" i="13"/>
  <c r="LF68" i="13"/>
  <c r="LF78" i="13"/>
  <c r="KV87" i="13"/>
  <c r="KU87" i="13"/>
  <c r="KT87" i="13"/>
  <c r="KS87" i="13"/>
  <c r="KR87" i="13"/>
  <c r="KQ87" i="13"/>
  <c r="KP87" i="13"/>
  <c r="KO87" i="13"/>
  <c r="KN87" i="13"/>
  <c r="KM87" i="13"/>
  <c r="KL87" i="13"/>
  <c r="KK87" i="13"/>
  <c r="KJ87" i="13"/>
  <c r="KI87" i="13"/>
  <c r="KH87" i="13"/>
  <c r="KG87" i="13"/>
  <c r="KF87" i="13"/>
  <c r="KE87" i="13"/>
  <c r="KV85" i="13"/>
  <c r="KU85" i="13"/>
  <c r="KT85" i="13"/>
  <c r="KS85" i="13"/>
  <c r="KR85" i="13"/>
  <c r="KQ85" i="13"/>
  <c r="KP85" i="13"/>
  <c r="KO85" i="13"/>
  <c r="KN85" i="13"/>
  <c r="KM85" i="13"/>
  <c r="KL85" i="13"/>
  <c r="KK85" i="13"/>
  <c r="KJ85" i="13"/>
  <c r="KI85" i="13"/>
  <c r="KH85" i="13"/>
  <c r="KG85" i="13"/>
  <c r="KF85" i="13"/>
  <c r="KE85" i="13"/>
  <c r="KV84" i="13"/>
  <c r="KU84" i="13"/>
  <c r="KT84" i="13"/>
  <c r="KS84" i="13"/>
  <c r="KR84" i="13"/>
  <c r="KQ84" i="13"/>
  <c r="KP84" i="13"/>
  <c r="KO84" i="13"/>
  <c r="KN84" i="13"/>
  <c r="KM84" i="13"/>
  <c r="KL84" i="13"/>
  <c r="KK84" i="13"/>
  <c r="KJ84" i="13"/>
  <c r="KI84" i="13"/>
  <c r="KH84" i="13"/>
  <c r="KG84" i="13"/>
  <c r="KF84" i="13"/>
  <c r="KE84" i="13"/>
  <c r="KV81" i="13"/>
  <c r="KU81" i="13"/>
  <c r="KT81" i="13"/>
  <c r="KS81" i="13"/>
  <c r="KR81" i="13"/>
  <c r="KQ81" i="13"/>
  <c r="KP81" i="13"/>
  <c r="KO81" i="13"/>
  <c r="KN81" i="13"/>
  <c r="KM81" i="13"/>
  <c r="KL81" i="13"/>
  <c r="KK81" i="13"/>
  <c r="KJ81" i="13"/>
  <c r="KI81" i="13"/>
  <c r="KH81" i="13"/>
  <c r="KG81" i="13"/>
  <c r="KF81" i="13"/>
  <c r="KE81" i="13"/>
  <c r="KV78" i="13"/>
  <c r="KU78" i="13"/>
  <c r="KT78" i="13"/>
  <c r="KS78" i="13"/>
  <c r="KR78" i="13"/>
  <c r="KQ78" i="13"/>
  <c r="KP78" i="13"/>
  <c r="KO78" i="13"/>
  <c r="KN78" i="13"/>
  <c r="KM78" i="13"/>
  <c r="KL78" i="13"/>
  <c r="KK78" i="13"/>
  <c r="KJ78" i="13"/>
  <c r="KI78" i="13"/>
  <c r="KH78" i="13"/>
  <c r="KG78" i="13"/>
  <c r="KF78" i="13"/>
  <c r="KE78" i="13"/>
  <c r="KV68" i="13"/>
  <c r="KU68" i="13"/>
  <c r="KT68" i="13"/>
  <c r="KS68" i="13"/>
  <c r="KR68" i="13"/>
  <c r="KQ68" i="13"/>
  <c r="KP68" i="13"/>
  <c r="KO68" i="13"/>
  <c r="KN68" i="13"/>
  <c r="KM68" i="13"/>
  <c r="KL68" i="13"/>
  <c r="KK68" i="13"/>
  <c r="KJ68" i="13"/>
  <c r="KI68" i="13"/>
  <c r="KH68" i="13"/>
  <c r="KG68" i="13"/>
  <c r="KF68" i="13"/>
  <c r="KE68" i="13"/>
  <c r="KB87" i="13"/>
  <c r="KA87" i="13"/>
  <c r="JZ87" i="13"/>
  <c r="JY87" i="13"/>
  <c r="KB85" i="13"/>
  <c r="KA85" i="13"/>
  <c r="JZ85" i="13"/>
  <c r="JY85" i="13"/>
  <c r="KB84" i="13"/>
  <c r="KA84" i="13"/>
  <c r="JZ84" i="13"/>
  <c r="JY84" i="13"/>
  <c r="KB81" i="13"/>
  <c r="KA81" i="13"/>
  <c r="JZ81" i="13"/>
  <c r="JY81" i="13"/>
  <c r="KB78" i="13"/>
  <c r="KA78" i="13"/>
  <c r="JZ78" i="13"/>
  <c r="JY78" i="13"/>
  <c r="KA71" i="13"/>
  <c r="KB68" i="13"/>
  <c r="KA68" i="13"/>
  <c r="JZ68" i="13"/>
  <c r="JY68" i="13"/>
  <c r="JV87" i="13"/>
  <c r="JU87" i="13"/>
  <c r="JT87" i="13"/>
  <c r="JS87" i="13"/>
  <c r="JR87" i="13"/>
  <c r="JQ87" i="13"/>
  <c r="JP87" i="13"/>
  <c r="JO87" i="13"/>
  <c r="JN87" i="13"/>
  <c r="JM87" i="13"/>
  <c r="JL87" i="13"/>
  <c r="JK87" i="13"/>
  <c r="JV86" i="13"/>
  <c r="JR86" i="13"/>
  <c r="JL86" i="13"/>
  <c r="JV85" i="13"/>
  <c r="JU85" i="13"/>
  <c r="JT85" i="13"/>
  <c r="JS85" i="13"/>
  <c r="JR85" i="13"/>
  <c r="JQ85" i="13"/>
  <c r="JP85" i="13"/>
  <c r="JO85" i="13"/>
  <c r="JN85" i="13"/>
  <c r="JM85" i="13"/>
  <c r="JL85" i="13"/>
  <c r="JK85" i="13"/>
  <c r="JV84" i="13"/>
  <c r="JU84" i="13"/>
  <c r="JT84" i="13"/>
  <c r="JS84" i="13"/>
  <c r="JR84" i="13"/>
  <c r="JQ84" i="13"/>
  <c r="JP84" i="13"/>
  <c r="JO84" i="13"/>
  <c r="JN84" i="13"/>
  <c r="JM84" i="13"/>
  <c r="JL84" i="13"/>
  <c r="JK84" i="13"/>
  <c r="JQ83" i="13"/>
  <c r="JM83" i="13"/>
  <c r="JS82" i="13"/>
  <c r="JM82" i="13"/>
  <c r="JV81" i="13"/>
  <c r="JU81" i="13"/>
  <c r="JT81" i="13"/>
  <c r="JS81" i="13"/>
  <c r="JR81" i="13"/>
  <c r="JQ81" i="13"/>
  <c r="JP81" i="13"/>
  <c r="JO81" i="13"/>
  <c r="JN81" i="13"/>
  <c r="JM81" i="13"/>
  <c r="JL81" i="13"/>
  <c r="JK81" i="13"/>
  <c r="JV80" i="13"/>
  <c r="JS80" i="13"/>
  <c r="JQ80" i="13"/>
  <c r="JP80" i="13"/>
  <c r="JO80" i="13"/>
  <c r="JM80" i="13"/>
  <c r="JL80" i="13"/>
  <c r="JR79" i="13"/>
  <c r="JL79" i="13"/>
  <c r="JV78" i="13"/>
  <c r="JU78" i="13"/>
  <c r="JT78" i="13"/>
  <c r="JS78" i="13"/>
  <c r="JR78" i="13"/>
  <c r="JQ78" i="13"/>
  <c r="JP78" i="13"/>
  <c r="JO78" i="13"/>
  <c r="JN78" i="13"/>
  <c r="JM78" i="13"/>
  <c r="JL78" i="13"/>
  <c r="JK78" i="13"/>
  <c r="JT77" i="13"/>
  <c r="JR77" i="13"/>
  <c r="JO77" i="13"/>
  <c r="JN77" i="13"/>
  <c r="JL77" i="13"/>
  <c r="JT76" i="13"/>
  <c r="JP76" i="13"/>
  <c r="JL76" i="13"/>
  <c r="JV74" i="13"/>
  <c r="JQ74" i="13"/>
  <c r="JP74" i="13"/>
  <c r="JM74" i="13"/>
  <c r="JL74" i="13"/>
  <c r="JT73" i="13"/>
  <c r="JP73" i="13"/>
  <c r="JO73" i="13"/>
  <c r="JL73" i="13"/>
  <c r="JU72" i="13"/>
  <c r="JS72" i="13"/>
  <c r="JR72" i="13"/>
  <c r="JO72" i="13"/>
  <c r="JM72" i="13"/>
  <c r="JV71" i="13"/>
  <c r="JT71" i="13"/>
  <c r="JR71" i="13"/>
  <c r="JO71" i="13"/>
  <c r="JL71" i="13"/>
  <c r="JS70" i="13"/>
  <c r="JR70" i="13"/>
  <c r="JQ70" i="13"/>
  <c r="JN70" i="13"/>
  <c r="JV69" i="13"/>
  <c r="JT69" i="13"/>
  <c r="JS69" i="13"/>
  <c r="JQ69" i="13"/>
  <c r="JP69" i="13"/>
  <c r="JO69" i="13"/>
  <c r="JN69" i="13"/>
  <c r="JL69" i="13"/>
  <c r="JV68" i="13"/>
  <c r="JU68" i="13"/>
  <c r="JT68" i="13"/>
  <c r="JS68" i="13"/>
  <c r="JR68" i="13"/>
  <c r="JQ68" i="13"/>
  <c r="JP68" i="13"/>
  <c r="JO68" i="13"/>
  <c r="JN68" i="13"/>
  <c r="JM68" i="13"/>
  <c r="JL68" i="13"/>
  <c r="JK68" i="13"/>
  <c r="JS67" i="13"/>
  <c r="JT66" i="13"/>
  <c r="C32" i="43" l="1"/>
  <c r="KA77" i="13"/>
  <c r="B28" i="22"/>
  <c r="KA74" i="13"/>
  <c r="JK71" i="13"/>
  <c r="JK74" i="13"/>
  <c r="JK77" i="13"/>
  <c r="JK86" i="13"/>
  <c r="JK90" i="13" s="1"/>
  <c r="JK70" i="13"/>
  <c r="JK79" i="13"/>
  <c r="JK69" i="13"/>
  <c r="JT82" i="13"/>
  <c r="JT79" i="13"/>
  <c r="JY79" i="13"/>
  <c r="JV66" i="13"/>
  <c r="JT83" i="13"/>
  <c r="JS86" i="13"/>
  <c r="JS90" i="13" s="1"/>
  <c r="JU69" i="13"/>
  <c r="JT70" i="13"/>
  <c r="JV72" i="13"/>
  <c r="JS76" i="13"/>
  <c r="JV79" i="13"/>
  <c r="JT80" i="13"/>
  <c r="JR67" i="13"/>
  <c r="JR75" i="13"/>
  <c r="JO67" i="13"/>
  <c r="JO75" i="13"/>
  <c r="JR76" i="13"/>
  <c r="JP79" i="13"/>
  <c r="JR82" i="13"/>
  <c r="JO83" i="13"/>
  <c r="JO86" i="13"/>
  <c r="JO90" i="13" s="1"/>
  <c r="JO79" i="13"/>
  <c r="JP67" i="13"/>
  <c r="JO70" i="13"/>
  <c r="JP71" i="13"/>
  <c r="JR73" i="13"/>
  <c r="JR74" i="13"/>
  <c r="JO76" i="13"/>
  <c r="JP77" i="13"/>
  <c r="JR80" i="13"/>
  <c r="JO82" i="13"/>
  <c r="JK67" i="13"/>
  <c r="JM70" i="13"/>
  <c r="JN71" i="13"/>
  <c r="JK72" i="13"/>
  <c r="JK75" i="13"/>
  <c r="JK76" i="13"/>
  <c r="JN82" i="13"/>
  <c r="JK83" i="13"/>
  <c r="JN86" i="13"/>
  <c r="JM67" i="13"/>
  <c r="JM75" i="13"/>
  <c r="JN67" i="13"/>
  <c r="JM69" i="13"/>
  <c r="JN72" i="13"/>
  <c r="JN75" i="13"/>
  <c r="JM76" i="13"/>
  <c r="JN79" i="13"/>
  <c r="JN80" i="13"/>
  <c r="JK82" i="13"/>
  <c r="JN83" i="13"/>
  <c r="JL67" i="13"/>
  <c r="JL70" i="13"/>
  <c r="JL75" i="13"/>
  <c r="JL82" i="13"/>
  <c r="JL83" i="13"/>
  <c r="JM73" i="13"/>
  <c r="JM77" i="13"/>
  <c r="JM79" i="13"/>
  <c r="JM89" i="13" s="1"/>
  <c r="JT67" i="13"/>
  <c r="JQ75" i="13"/>
  <c r="KA69" i="13"/>
  <c r="KA72" i="13"/>
  <c r="JQ72" i="13"/>
  <c r="MU91" i="13"/>
  <c r="KB76" i="13"/>
  <c r="JT75" i="13"/>
  <c r="JZ75" i="13"/>
  <c r="LL91" i="13"/>
  <c r="MG91" i="13"/>
  <c r="JY66" i="13"/>
  <c r="JT72" i="13"/>
  <c r="JY70" i="13"/>
  <c r="JT86" i="13"/>
  <c r="JT90" i="13" s="1"/>
  <c r="JY73" i="13"/>
  <c r="JU66" i="13"/>
  <c r="JU79" i="13"/>
  <c r="JV73" i="13"/>
  <c r="JV83" i="13"/>
  <c r="JV90" i="13"/>
  <c r="KA67" i="13"/>
  <c r="KA75" i="13"/>
  <c r="KA83" i="13"/>
  <c r="JY86" i="13"/>
  <c r="JY90" i="13" s="1"/>
  <c r="KB79" i="13"/>
  <c r="JL72" i="13"/>
  <c r="JP72" i="13"/>
  <c r="JQ67" i="13"/>
  <c r="JS75" i="13"/>
  <c r="JK80" i="13"/>
  <c r="JZ67" i="13"/>
  <c r="JU74" i="13"/>
  <c r="MJ91" i="13"/>
  <c r="LV91" i="13"/>
  <c r="B11" i="22" s="1"/>
  <c r="MT91" i="13"/>
  <c r="JN76" i="13"/>
  <c r="KA79" i="13"/>
  <c r="KA70" i="13"/>
  <c r="JR69" i="13"/>
  <c r="NC91" i="13"/>
  <c r="MF91" i="13"/>
  <c r="MI91" i="13"/>
  <c r="MQ91" i="13"/>
  <c r="MX91" i="13"/>
  <c r="NE91" i="13"/>
  <c r="KA73" i="13"/>
  <c r="KA76" i="13"/>
  <c r="MZ91" i="13"/>
  <c r="NF91" i="13"/>
  <c r="LQ91" i="13"/>
  <c r="LK91" i="13"/>
  <c r="MR91" i="13"/>
  <c r="JZ77" i="13"/>
  <c r="LZ91" i="13"/>
  <c r="G11" i="22" s="1"/>
  <c r="MS91" i="13"/>
  <c r="MA91" i="13"/>
  <c r="H11" i="22" s="1"/>
  <c r="NB91" i="13"/>
  <c r="MO91" i="13"/>
  <c r="MN91" i="13"/>
  <c r="KA80" i="13"/>
  <c r="KA82" i="13"/>
  <c r="NA91" i="13"/>
  <c r="C40" i="43" s="1"/>
  <c r="JN73" i="13"/>
  <c r="JN74" i="13"/>
  <c r="JV75" i="13"/>
  <c r="JV76" i="13"/>
  <c r="KA86" i="13"/>
  <c r="KA90" i="13" s="1"/>
  <c r="JY69" i="13"/>
  <c r="JY74" i="13"/>
  <c r="JY80" i="13"/>
  <c r="JY82" i="13"/>
  <c r="JY83" i="13"/>
  <c r="LU91" i="13"/>
  <c r="ND91" i="13"/>
  <c r="B44" i="22" s="1"/>
  <c r="MK91" i="13"/>
  <c r="MH91" i="13"/>
  <c r="ML91" i="13"/>
  <c r="MD91" i="13"/>
  <c r="KB66" i="13"/>
  <c r="KB77" i="13"/>
  <c r="JT74" i="13"/>
  <c r="JZ71" i="13"/>
  <c r="JZ83" i="13"/>
  <c r="KA66" i="13"/>
  <c r="LO91" i="13"/>
  <c r="LS91" i="13"/>
  <c r="LX91" i="13"/>
  <c r="D11" i="22" s="1"/>
  <c r="LR91" i="13"/>
  <c r="LW91" i="13"/>
  <c r="C11" i="22" s="1"/>
  <c r="ME91" i="13"/>
  <c r="LT91" i="13"/>
  <c r="JQ76" i="13"/>
  <c r="JU86" i="13"/>
  <c r="JU90" i="13" s="1"/>
  <c r="LP91" i="13"/>
  <c r="LJ91" i="13"/>
  <c r="KZ90" i="13"/>
  <c r="LM91" i="13"/>
  <c r="JP86" i="13"/>
  <c r="JP90" i="13" s="1"/>
  <c r="JR83" i="13"/>
  <c r="KZ89" i="13"/>
  <c r="LC89" i="13"/>
  <c r="KB69" i="13"/>
  <c r="KB71" i="13"/>
  <c r="KB72" i="13"/>
  <c r="KB73" i="13"/>
  <c r="KB74" i="13"/>
  <c r="JZ80" i="13"/>
  <c r="JU70" i="13"/>
  <c r="JM71" i="13"/>
  <c r="JZ72" i="13"/>
  <c r="JZ74" i="13"/>
  <c r="LD89" i="13"/>
  <c r="JZ70" i="13"/>
  <c r="JZ82" i="13"/>
  <c r="KB80" i="13"/>
  <c r="LG89" i="13"/>
  <c r="LF88" i="13"/>
  <c r="KG66" i="13"/>
  <c r="KG67" i="13"/>
  <c r="KK67" i="13"/>
  <c r="KO67" i="13"/>
  <c r="KS67" i="13"/>
  <c r="KE69" i="13"/>
  <c r="KI69" i="13"/>
  <c r="KM69" i="13"/>
  <c r="KQ69" i="13"/>
  <c r="KU69" i="13"/>
  <c r="KE70" i="13"/>
  <c r="KI70" i="13"/>
  <c r="KM70" i="13"/>
  <c r="KQ70" i="13"/>
  <c r="KU70" i="13"/>
  <c r="KE71" i="13"/>
  <c r="KI71" i="13"/>
  <c r="KM71" i="13"/>
  <c r="KQ71" i="13"/>
  <c r="KU71" i="13"/>
  <c r="KE72" i="13"/>
  <c r="KI72" i="13"/>
  <c r="KM72" i="13"/>
  <c r="KQ72" i="13"/>
  <c r="KU72" i="13"/>
  <c r="KE73" i="13"/>
  <c r="KI73" i="13"/>
  <c r="KM73" i="13"/>
  <c r="KQ73" i="13"/>
  <c r="KU73" i="13"/>
  <c r="KE74" i="13"/>
  <c r="KI74" i="13"/>
  <c r="KM74" i="13"/>
  <c r="KQ74" i="13"/>
  <c r="KU74" i="13"/>
  <c r="KE75" i="13"/>
  <c r="KI75" i="13"/>
  <c r="KM75" i="13"/>
  <c r="KQ75" i="13"/>
  <c r="KU75" i="13"/>
  <c r="KE76" i="13"/>
  <c r="KI76" i="13"/>
  <c r="KM76" i="13"/>
  <c r="KQ76" i="13"/>
  <c r="KU76" i="13"/>
  <c r="KG77" i="13"/>
  <c r="KK77" i="13"/>
  <c r="KO77" i="13"/>
  <c r="KS77" i="13"/>
  <c r="KQ77" i="13"/>
  <c r="KE79" i="13"/>
  <c r="KI79" i="13"/>
  <c r="KM79" i="13"/>
  <c r="KQ79" i="13"/>
  <c r="KU79" i="13"/>
  <c r="KG80" i="13"/>
  <c r="KK80" i="13"/>
  <c r="KO80" i="13"/>
  <c r="KS80" i="13"/>
  <c r="KE82" i="13"/>
  <c r="KI82" i="13"/>
  <c r="KM82" i="13"/>
  <c r="KQ82" i="13"/>
  <c r="KU82" i="13"/>
  <c r="KE83" i="13"/>
  <c r="KI83" i="13"/>
  <c r="KM83" i="13"/>
  <c r="KQ83" i="13"/>
  <c r="KU83" i="13"/>
  <c r="KI86" i="13"/>
  <c r="KI90" i="13" s="1"/>
  <c r="LD88" i="13"/>
  <c r="LD91" i="13" s="1"/>
  <c r="LF89" i="13"/>
  <c r="KE66" i="13"/>
  <c r="KV66" i="13"/>
  <c r="KH67" i="13"/>
  <c r="KL67" i="13"/>
  <c r="KP67" i="13"/>
  <c r="KT67" i="13"/>
  <c r="KF69" i="13"/>
  <c r="KJ69" i="13"/>
  <c r="KN69" i="13"/>
  <c r="KR69" i="13"/>
  <c r="KV69" i="13"/>
  <c r="KF70" i="13"/>
  <c r="KJ70" i="13"/>
  <c r="KN70" i="13"/>
  <c r="KR70" i="13"/>
  <c r="KV70" i="13"/>
  <c r="KH70" i="13"/>
  <c r="KF71" i="13"/>
  <c r="KJ71" i="13"/>
  <c r="KN71" i="13"/>
  <c r="KR71" i="13"/>
  <c r="KV71" i="13"/>
  <c r="KF72" i="13"/>
  <c r="KJ72" i="13"/>
  <c r="KN72" i="13"/>
  <c r="KR72" i="13"/>
  <c r="KV72" i="13"/>
  <c r="KF73" i="13"/>
  <c r="KJ73" i="13"/>
  <c r="KN73" i="13"/>
  <c r="KR73" i="13"/>
  <c r="KV73" i="13"/>
  <c r="KF74" i="13"/>
  <c r="KJ74" i="13"/>
  <c r="KN74" i="13"/>
  <c r="KR74" i="13"/>
  <c r="KV74" i="13"/>
  <c r="KF75" i="13"/>
  <c r="KJ75" i="13"/>
  <c r="KN75" i="13"/>
  <c r="KR75" i="13"/>
  <c r="KV75" i="13"/>
  <c r="KF76" i="13"/>
  <c r="KJ76" i="13"/>
  <c r="KN76" i="13"/>
  <c r="KR76" i="13"/>
  <c r="KV76" i="13"/>
  <c r="KL77" i="13"/>
  <c r="KJ79" i="13"/>
  <c r="KH86" i="13"/>
  <c r="KH90" i="13" s="1"/>
  <c r="KL86" i="13"/>
  <c r="KL90" i="13" s="1"/>
  <c r="KP86" i="13"/>
  <c r="KP90" i="13" s="1"/>
  <c r="KT86" i="13"/>
  <c r="LG88" i="13"/>
  <c r="LC88" i="13"/>
  <c r="JQ82" i="13"/>
  <c r="JU82" i="13"/>
  <c r="KF67" i="13"/>
  <c r="KV67" i="13"/>
  <c r="KL71" i="13"/>
  <c r="KH75" i="13"/>
  <c r="KZ88" i="13"/>
  <c r="KH66" i="13"/>
  <c r="KL66" i="13"/>
  <c r="KP66" i="13"/>
  <c r="KT66" i="13"/>
  <c r="LA88" i="13"/>
  <c r="KK66" i="13"/>
  <c r="KO66" i="13"/>
  <c r="KS66" i="13"/>
  <c r="KJ67" i="13"/>
  <c r="KN67" i="13"/>
  <c r="KR67" i="13"/>
  <c r="KT69" i="13"/>
  <c r="KP73" i="13"/>
  <c r="KT74" i="13"/>
  <c r="KF77" i="13"/>
  <c r="KJ77" i="13"/>
  <c r="KN77" i="13"/>
  <c r="KR77" i="13"/>
  <c r="KV77" i="13"/>
  <c r="KH79" i="13"/>
  <c r="KL79" i="13"/>
  <c r="KP79" i="13"/>
  <c r="KT79" i="13"/>
  <c r="KF80" i="13"/>
  <c r="KJ80" i="13"/>
  <c r="KN80" i="13"/>
  <c r="KR80" i="13"/>
  <c r="KV80" i="13"/>
  <c r="KH82" i="13"/>
  <c r="KL82" i="13"/>
  <c r="KP82" i="13"/>
  <c r="KT82" i="13"/>
  <c r="KH83" i="13"/>
  <c r="KL83" i="13"/>
  <c r="KP83" i="13"/>
  <c r="KT83" i="13"/>
  <c r="KF86" i="13"/>
  <c r="KF90" i="13" s="1"/>
  <c r="KJ86" i="13"/>
  <c r="KJ90" i="13" s="1"/>
  <c r="KN86" i="13"/>
  <c r="KN90" i="13" s="1"/>
  <c r="KR86" i="13"/>
  <c r="KV86" i="13"/>
  <c r="LA89" i="13"/>
  <c r="KF66" i="13"/>
  <c r="KJ66" i="13"/>
  <c r="KN66" i="13"/>
  <c r="KR66" i="13"/>
  <c r="KS70" i="13"/>
  <c r="KG71" i="13"/>
  <c r="KK72" i="13"/>
  <c r="KO74" i="13"/>
  <c r="KS75" i="13"/>
  <c r="KG76" i="13"/>
  <c r="KS83" i="13"/>
  <c r="KE86" i="13"/>
  <c r="KE90" i="13" s="1"/>
  <c r="KM86" i="13"/>
  <c r="KM90" i="13" s="1"/>
  <c r="KQ86" i="13"/>
  <c r="KU86" i="13"/>
  <c r="JZ76" i="13"/>
  <c r="KI66" i="13"/>
  <c r="KM66" i="13"/>
  <c r="KQ66" i="13"/>
  <c r="KH77" i="13"/>
  <c r="KP77" i="13"/>
  <c r="KT77" i="13"/>
  <c r="KF79" i="13"/>
  <c r="KN79" i="13"/>
  <c r="KR79" i="13"/>
  <c r="KV79" i="13"/>
  <c r="KH80" i="13"/>
  <c r="KL80" i="13"/>
  <c r="KP80" i="13"/>
  <c r="KU66" i="13"/>
  <c r="KM67" i="13"/>
  <c r="KK69" i="13"/>
  <c r="KK70" i="13"/>
  <c r="KO71" i="13"/>
  <c r="KG72" i="13"/>
  <c r="KS72" i="13"/>
  <c r="KK73" i="13"/>
  <c r="KO75" i="13"/>
  <c r="KK76" i="13"/>
  <c r="KI77" i="13"/>
  <c r="KK79" i="13"/>
  <c r="KE80" i="13"/>
  <c r="KI80" i="13"/>
  <c r="KM80" i="13"/>
  <c r="KQ80" i="13"/>
  <c r="KU80" i="13"/>
  <c r="KG82" i="13"/>
  <c r="KK82" i="13"/>
  <c r="KO82" i="13"/>
  <c r="KS82" i="13"/>
  <c r="KG83" i="13"/>
  <c r="KK83" i="13"/>
  <c r="KO83" i="13"/>
  <c r="JU67" i="13"/>
  <c r="JU71" i="13"/>
  <c r="JU73" i="13"/>
  <c r="JU75" i="13"/>
  <c r="JU76" i="13"/>
  <c r="JU77" i="13"/>
  <c r="JU80" i="13"/>
  <c r="JU83" i="13"/>
  <c r="JZ66" i="13"/>
  <c r="JZ69" i="13"/>
  <c r="JZ73" i="13"/>
  <c r="JZ86" i="13"/>
  <c r="JZ90" i="13" s="1"/>
  <c r="JV67" i="13"/>
  <c r="JV70" i="13"/>
  <c r="JV77" i="13"/>
  <c r="JS66" i="13"/>
  <c r="JS71" i="13"/>
  <c r="JS73" i="13"/>
  <c r="JS77" i="13"/>
  <c r="JS79" i="13"/>
  <c r="JS83" i="13"/>
  <c r="KB70" i="13"/>
  <c r="KB75" i="13"/>
  <c r="KB82" i="13"/>
  <c r="KB83" i="13"/>
  <c r="KE67" i="13"/>
  <c r="KI67" i="13"/>
  <c r="KQ67" i="13"/>
  <c r="KU67" i="13"/>
  <c r="KG69" i="13"/>
  <c r="KO69" i="13"/>
  <c r="KS69" i="13"/>
  <c r="KG70" i="13"/>
  <c r="KO70" i="13"/>
  <c r="KK71" i="13"/>
  <c r="KS71" i="13"/>
  <c r="KO72" i="13"/>
  <c r="KG73" i="13"/>
  <c r="KO73" i="13"/>
  <c r="KS73" i="13"/>
  <c r="KG74" i="13"/>
  <c r="KK74" i="13"/>
  <c r="KS74" i="13"/>
  <c r="KG75" i="13"/>
  <c r="KK75" i="13"/>
  <c r="KO76" i="13"/>
  <c r="KS76" i="13"/>
  <c r="KE77" i="13"/>
  <c r="KM77" i="13"/>
  <c r="KU77" i="13"/>
  <c r="KG79" i="13"/>
  <c r="KO79" i="13"/>
  <c r="KS79" i="13"/>
  <c r="KH69" i="13"/>
  <c r="KL69" i="13"/>
  <c r="KP69" i="13"/>
  <c r="KL70" i="13"/>
  <c r="KP70" i="13"/>
  <c r="KT70" i="13"/>
  <c r="KH71" i="13"/>
  <c r="KP71" i="13"/>
  <c r="KT71" i="13"/>
  <c r="KH72" i="13"/>
  <c r="KL72" i="13"/>
  <c r="KP72" i="13"/>
  <c r="KT72" i="13"/>
  <c r="KH73" i="13"/>
  <c r="KL73" i="13"/>
  <c r="KT73" i="13"/>
  <c r="KH74" i="13"/>
  <c r="KL74" i="13"/>
  <c r="KP74" i="13"/>
  <c r="KL75" i="13"/>
  <c r="KP75" i="13"/>
  <c r="KT75" i="13"/>
  <c r="KH76" i="13"/>
  <c r="KL76" i="13"/>
  <c r="KP76" i="13"/>
  <c r="KT76" i="13"/>
  <c r="KG86" i="13"/>
  <c r="KG90" i="13" s="1"/>
  <c r="KK86" i="13"/>
  <c r="KK90" i="13" s="1"/>
  <c r="KO86" i="13"/>
  <c r="KO90" i="13" s="1"/>
  <c r="KS86" i="13"/>
  <c r="KT80" i="13"/>
  <c r="KF82" i="13"/>
  <c r="KJ82" i="13"/>
  <c r="KN82" i="13"/>
  <c r="KR82" i="13"/>
  <c r="KV82" i="13"/>
  <c r="KF83" i="13"/>
  <c r="KJ83" i="13"/>
  <c r="KN83" i="13"/>
  <c r="KR83" i="13"/>
  <c r="KV83" i="13"/>
  <c r="JP70" i="13"/>
  <c r="JP75" i="13"/>
  <c r="JP82" i="13"/>
  <c r="JP83" i="13"/>
  <c r="JQ71" i="13"/>
  <c r="JQ73" i="13"/>
  <c r="JQ77" i="13"/>
  <c r="JQ79" i="13"/>
  <c r="JK73" i="13"/>
  <c r="JM86" i="13"/>
  <c r="JM90" i="13" s="1"/>
  <c r="JQ86" i="13"/>
  <c r="JQ90" i="13" s="1"/>
  <c r="JY67" i="13"/>
  <c r="JR90" i="13"/>
  <c r="JY75" i="13"/>
  <c r="JY76" i="13"/>
  <c r="JN90" i="13"/>
  <c r="KB67" i="13"/>
  <c r="KB86" i="13"/>
  <c r="KB90" i="13" s="1"/>
  <c r="JY71" i="13"/>
  <c r="JY72" i="13"/>
  <c r="JV82" i="13"/>
  <c r="JY77" i="13"/>
  <c r="JZ79" i="13"/>
  <c r="JL90" i="13"/>
  <c r="JO74" i="13"/>
  <c r="JS74" i="13"/>
  <c r="JR66" i="13"/>
  <c r="JQ66" i="13"/>
  <c r="JP66" i="13"/>
  <c r="JO66" i="13"/>
  <c r="JN66" i="13"/>
  <c r="JM66" i="13"/>
  <c r="JL66" i="13"/>
  <c r="JK66" i="13"/>
  <c r="B35" i="22" l="1"/>
  <c r="E11" i="22"/>
  <c r="I11" i="22" s="1"/>
  <c r="C44" i="22"/>
  <c r="MZ103" i="13"/>
  <c r="D44" i="22"/>
  <c r="NA103" i="13"/>
  <c r="G28" i="22"/>
  <c r="G35" i="22"/>
  <c r="D28" i="22"/>
  <c r="D35" i="22"/>
  <c r="E28" i="22"/>
  <c r="E35" i="22"/>
  <c r="C35" i="22"/>
  <c r="C28" i="22"/>
  <c r="F35" i="22"/>
  <c r="F28" i="22"/>
  <c r="JL89" i="13"/>
  <c r="KS90" i="13"/>
  <c r="KU90" i="13"/>
  <c r="KV90" i="13"/>
  <c r="KQ90" i="13"/>
  <c r="KR90" i="13"/>
  <c r="KT90" i="13"/>
  <c r="JR89" i="13"/>
  <c r="JT89" i="13"/>
  <c r="JK89" i="13"/>
  <c r="JO89" i="13"/>
  <c r="JN89" i="13"/>
  <c r="JT88" i="13"/>
  <c r="JT91" i="13" s="1"/>
  <c r="C65" i="11" s="1"/>
  <c r="JV89" i="13"/>
  <c r="JL88" i="13"/>
  <c r="KA89" i="13"/>
  <c r="JR88" i="13"/>
  <c r="KA88" i="13"/>
  <c r="LC91" i="13"/>
  <c r="JY89" i="13"/>
  <c r="JN88" i="13"/>
  <c r="KZ91" i="13"/>
  <c r="LG91" i="13"/>
  <c r="D100" i="11" s="1"/>
  <c r="LF91" i="13"/>
  <c r="C100" i="11" s="1"/>
  <c r="JZ89" i="13"/>
  <c r="JQ89" i="13"/>
  <c r="KT89" i="13"/>
  <c r="JM88" i="13"/>
  <c r="JM91" i="13" s="1"/>
  <c r="KJ88" i="13"/>
  <c r="KQ89" i="13"/>
  <c r="KB89" i="13"/>
  <c r="JU89" i="13"/>
  <c r="JU88" i="13"/>
  <c r="KL89" i="13"/>
  <c r="KM89" i="13"/>
  <c r="KK89" i="13"/>
  <c r="JO88" i="13"/>
  <c r="JP89" i="13"/>
  <c r="KO89" i="13"/>
  <c r="JS89" i="13"/>
  <c r="JZ88" i="13"/>
  <c r="KU89" i="13"/>
  <c r="KE89" i="13"/>
  <c r="KI89" i="13"/>
  <c r="KN88" i="13"/>
  <c r="LA91" i="13"/>
  <c r="JP88" i="13"/>
  <c r="JY88" i="13"/>
  <c r="KG89" i="13"/>
  <c r="KR88" i="13"/>
  <c r="KV88" i="13"/>
  <c r="KF88" i="13"/>
  <c r="KH88" i="13"/>
  <c r="KG88" i="13"/>
  <c r="KE88" i="13"/>
  <c r="KE91" i="13" s="1"/>
  <c r="KN89" i="13"/>
  <c r="JQ88" i="13"/>
  <c r="KJ89" i="13"/>
  <c r="KS89" i="13"/>
  <c r="KH89" i="13"/>
  <c r="KF89" i="13"/>
  <c r="KP88" i="13"/>
  <c r="KS88" i="13"/>
  <c r="KU88" i="13"/>
  <c r="KT88" i="13"/>
  <c r="KL88" i="13"/>
  <c r="KL91" i="13" s="1"/>
  <c r="KK88" i="13"/>
  <c r="KO88" i="13"/>
  <c r="JV88" i="13"/>
  <c r="KP89" i="13"/>
  <c r="KV89" i="13"/>
  <c r="JS88" i="13"/>
  <c r="KQ88" i="13"/>
  <c r="KB88" i="13"/>
  <c r="KM88" i="13"/>
  <c r="KM91" i="13" s="1"/>
  <c r="KR89" i="13"/>
  <c r="KI88" i="13"/>
  <c r="JK88" i="13"/>
  <c r="JK91" i="13" s="1"/>
  <c r="JH87" i="13"/>
  <c r="JG87" i="13"/>
  <c r="JF87" i="13"/>
  <c r="JE87" i="13"/>
  <c r="JD87" i="13"/>
  <c r="JC87" i="13"/>
  <c r="JB87" i="13"/>
  <c r="JA87" i="13"/>
  <c r="IZ87" i="13"/>
  <c r="IY87" i="13"/>
  <c r="IX87" i="13"/>
  <c r="IW87" i="13"/>
  <c r="IV87" i="13"/>
  <c r="IU87" i="13"/>
  <c r="IT87" i="13"/>
  <c r="IS87" i="13"/>
  <c r="IR87" i="13"/>
  <c r="IQ87" i="13"/>
  <c r="JH85" i="13"/>
  <c r="JG85" i="13"/>
  <c r="JF85" i="13"/>
  <c r="JE85" i="13"/>
  <c r="JD85" i="13"/>
  <c r="JC85" i="13"/>
  <c r="JB85" i="13"/>
  <c r="JA85" i="13"/>
  <c r="IZ85" i="13"/>
  <c r="IY85" i="13"/>
  <c r="IX85" i="13"/>
  <c r="IW85" i="13"/>
  <c r="IV85" i="13"/>
  <c r="IU85" i="13"/>
  <c r="IT85" i="13"/>
  <c r="IS85" i="13"/>
  <c r="IR85" i="13"/>
  <c r="IQ85" i="13"/>
  <c r="JH84" i="13"/>
  <c r="JG84" i="13"/>
  <c r="JF84" i="13"/>
  <c r="JE84" i="13"/>
  <c r="JD84" i="13"/>
  <c r="JC84" i="13"/>
  <c r="JB84" i="13"/>
  <c r="JA84" i="13"/>
  <c r="IZ84" i="13"/>
  <c r="IY84" i="13"/>
  <c r="IX84" i="13"/>
  <c r="IW84" i="13"/>
  <c r="IV84" i="13"/>
  <c r="IU84" i="13"/>
  <c r="IT84" i="13"/>
  <c r="IS84" i="13"/>
  <c r="IR84" i="13"/>
  <c r="IQ84" i="13"/>
  <c r="JH81" i="13"/>
  <c r="JG81" i="13"/>
  <c r="JF81" i="13"/>
  <c r="JE81" i="13"/>
  <c r="JD81" i="13"/>
  <c r="JC81" i="13"/>
  <c r="JB81" i="13"/>
  <c r="JA81" i="13"/>
  <c r="IZ81" i="13"/>
  <c r="IY81" i="13"/>
  <c r="IX81" i="13"/>
  <c r="IW81" i="13"/>
  <c r="IV81" i="13"/>
  <c r="IU81" i="13"/>
  <c r="IT81" i="13"/>
  <c r="IS81" i="13"/>
  <c r="IR81" i="13"/>
  <c r="IQ81" i="13"/>
  <c r="JH78" i="13"/>
  <c r="JG78" i="13"/>
  <c r="JF78" i="13"/>
  <c r="JE78" i="13"/>
  <c r="JD78" i="13"/>
  <c r="JC78" i="13"/>
  <c r="JB78" i="13"/>
  <c r="JA78" i="13"/>
  <c r="IZ78" i="13"/>
  <c r="IY78" i="13"/>
  <c r="IX78" i="13"/>
  <c r="IW78" i="13"/>
  <c r="IV78" i="13"/>
  <c r="IU78" i="13"/>
  <c r="IT78" i="13"/>
  <c r="IS78" i="13"/>
  <c r="IR78" i="13"/>
  <c r="IQ78" i="13"/>
  <c r="JH68" i="13"/>
  <c r="JG68" i="13"/>
  <c r="JF68" i="13"/>
  <c r="JE68" i="13"/>
  <c r="JD68" i="13"/>
  <c r="JC68" i="13"/>
  <c r="JB68" i="13"/>
  <c r="JA68" i="13"/>
  <c r="IZ68" i="13"/>
  <c r="IY68" i="13"/>
  <c r="IX68" i="13"/>
  <c r="IW68" i="13"/>
  <c r="IV68" i="13"/>
  <c r="IU68" i="13"/>
  <c r="IT68" i="13"/>
  <c r="IS68" i="13"/>
  <c r="IR68" i="13"/>
  <c r="IQ68" i="13"/>
  <c r="JR91" i="13" l="1"/>
  <c r="KV91" i="13"/>
  <c r="G84" i="11" s="1"/>
  <c r="JL91" i="13"/>
  <c r="JN91" i="13"/>
  <c r="JO91" i="13"/>
  <c r="JV91" i="13"/>
  <c r="E65" i="11" s="1"/>
  <c r="KA91" i="13"/>
  <c r="JY91" i="13"/>
  <c r="JZ91" i="13"/>
  <c r="JU91" i="13"/>
  <c r="D65" i="11" s="1"/>
  <c r="KB91" i="13"/>
  <c r="KQ91" i="13"/>
  <c r="B84" i="11" s="1"/>
  <c r="KT91" i="13"/>
  <c r="E84" i="11" s="1"/>
  <c r="JQ91" i="13"/>
  <c r="KU91" i="13"/>
  <c r="F84" i="11" s="1"/>
  <c r="JS91" i="13"/>
  <c r="B65" i="11" s="1"/>
  <c r="KF91" i="13"/>
  <c r="KK91" i="13"/>
  <c r="KI91" i="13"/>
  <c r="KJ91" i="13"/>
  <c r="KN91" i="13"/>
  <c r="KS91" i="13"/>
  <c r="D84" i="11" s="1"/>
  <c r="JP91" i="13"/>
  <c r="KG91" i="13"/>
  <c r="KP91" i="13"/>
  <c r="KR91" i="13"/>
  <c r="C84" i="11" s="1"/>
  <c r="KO91" i="13"/>
  <c r="KH91" i="13"/>
  <c r="JE69" i="13"/>
  <c r="JE71" i="13"/>
  <c r="JE73" i="13"/>
  <c r="JE75" i="13"/>
  <c r="JE79" i="13"/>
  <c r="JC80" i="13"/>
  <c r="JG80" i="13"/>
  <c r="JE83" i="13"/>
  <c r="JC86" i="13"/>
  <c r="JC90" i="13" s="1"/>
  <c r="JG86" i="13"/>
  <c r="JG90" i="13" s="1"/>
  <c r="JD69" i="13"/>
  <c r="JH69" i="13"/>
  <c r="JD71" i="13"/>
  <c r="JH71" i="13"/>
  <c r="JD73" i="13"/>
  <c r="JH73" i="13"/>
  <c r="JD75" i="13"/>
  <c r="JH75" i="13"/>
  <c r="JD79" i="13"/>
  <c r="JH79" i="13"/>
  <c r="JF80" i="13"/>
  <c r="JD83" i="13"/>
  <c r="JH83" i="13"/>
  <c r="JF86" i="13"/>
  <c r="JF90" i="13" s="1"/>
  <c r="JD66" i="13"/>
  <c r="JH67" i="13"/>
  <c r="JF70" i="13"/>
  <c r="JF71" i="13"/>
  <c r="JF72" i="13"/>
  <c r="JD74" i="13"/>
  <c r="JH76" i="13"/>
  <c r="JH77" i="13"/>
  <c r="JF79" i="13"/>
  <c r="JF82" i="13"/>
  <c r="JD82" i="13"/>
  <c r="JH82" i="13"/>
  <c r="JF83" i="13"/>
  <c r="JD86" i="13"/>
  <c r="JD90" i="13" s="1"/>
  <c r="JH86" i="13"/>
  <c r="JH90" i="13" s="1"/>
  <c r="JF66" i="13"/>
  <c r="JH66" i="13"/>
  <c r="JD67" i="13"/>
  <c r="JF67" i="13"/>
  <c r="JF69" i="13"/>
  <c r="JD70" i="13"/>
  <c r="JH70" i="13"/>
  <c r="JD72" i="13"/>
  <c r="JH72" i="13"/>
  <c r="JF73" i="13"/>
  <c r="JF74" i="13"/>
  <c r="JH74" i="13"/>
  <c r="JF75" i="13"/>
  <c r="JF76" i="13"/>
  <c r="JD76" i="13"/>
  <c r="JD77" i="13"/>
  <c r="JF77" i="13"/>
  <c r="JD80" i="13"/>
  <c r="JH80" i="13"/>
  <c r="JC66" i="13"/>
  <c r="JG66" i="13"/>
  <c r="JE66" i="13"/>
  <c r="JE67" i="13"/>
  <c r="JC67" i="13"/>
  <c r="JG67" i="13"/>
  <c r="JC69" i="13"/>
  <c r="JG69" i="13"/>
  <c r="JC70" i="13"/>
  <c r="JG70" i="13"/>
  <c r="JE70" i="13"/>
  <c r="JC71" i="13"/>
  <c r="JG71" i="13"/>
  <c r="JC72" i="13"/>
  <c r="JG72" i="13"/>
  <c r="JE72" i="13"/>
  <c r="JC73" i="13"/>
  <c r="JG73" i="13"/>
  <c r="JC74" i="13"/>
  <c r="JG74" i="13"/>
  <c r="JE74" i="13"/>
  <c r="JC75" i="13"/>
  <c r="JG75" i="13"/>
  <c r="JC76" i="13"/>
  <c r="JG76" i="13"/>
  <c r="JE76" i="13"/>
  <c r="JE77" i="13"/>
  <c r="JC77" i="13"/>
  <c r="JG77" i="13"/>
  <c r="JC79" i="13"/>
  <c r="JG79" i="13"/>
  <c r="JE80" i="13"/>
  <c r="JC82" i="13"/>
  <c r="JG82" i="13"/>
  <c r="JE82" i="13"/>
  <c r="JC83" i="13"/>
  <c r="JG83" i="13"/>
  <c r="JE86" i="13"/>
  <c r="JE90" i="13" s="1"/>
  <c r="IV67" i="13"/>
  <c r="IR67" i="13"/>
  <c r="IT69" i="13"/>
  <c r="IT71" i="13"/>
  <c r="IW66" i="13"/>
  <c r="JA66" i="13"/>
  <c r="IY67" i="13"/>
  <c r="IW67" i="13"/>
  <c r="JA67" i="13"/>
  <c r="IW69" i="13"/>
  <c r="JA69" i="13"/>
  <c r="IW70" i="13"/>
  <c r="JA70" i="13"/>
  <c r="IW71" i="13"/>
  <c r="JA71" i="13"/>
  <c r="IW72" i="13"/>
  <c r="JA72" i="13"/>
  <c r="IW73" i="13"/>
  <c r="JA73" i="13"/>
  <c r="IW74" i="13"/>
  <c r="JA74" i="13"/>
  <c r="IW75" i="13"/>
  <c r="JA75" i="13"/>
  <c r="IW76" i="13"/>
  <c r="JA76" i="13"/>
  <c r="IY77" i="13"/>
  <c r="IW77" i="13"/>
  <c r="JA77" i="13"/>
  <c r="IW79" i="13"/>
  <c r="JA79" i="13"/>
  <c r="IY80" i="13"/>
  <c r="IW80" i="13"/>
  <c r="JA80" i="13"/>
  <c r="IW82" i="13"/>
  <c r="JA82" i="13"/>
  <c r="IW83" i="13"/>
  <c r="JA83" i="13"/>
  <c r="IY86" i="13"/>
  <c r="IY90" i="13" s="1"/>
  <c r="IW86" i="13"/>
  <c r="IW90" i="13" s="1"/>
  <c r="JA86" i="13"/>
  <c r="JA90" i="13" s="1"/>
  <c r="IX66" i="13"/>
  <c r="JB66" i="13"/>
  <c r="IZ67" i="13"/>
  <c r="IX69" i="13"/>
  <c r="JB69" i="13"/>
  <c r="IX70" i="13"/>
  <c r="JB70" i="13"/>
  <c r="IX71" i="13"/>
  <c r="JB71" i="13"/>
  <c r="IX72" i="13"/>
  <c r="JB72" i="13"/>
  <c r="IX73" i="13"/>
  <c r="JB73" i="13"/>
  <c r="IX74" i="13"/>
  <c r="JB74" i="13"/>
  <c r="IX75" i="13"/>
  <c r="JB75" i="13"/>
  <c r="IX76" i="13"/>
  <c r="JB76" i="13"/>
  <c r="IZ77" i="13"/>
  <c r="IX79" i="13"/>
  <c r="JB79" i="13"/>
  <c r="IZ80" i="13"/>
  <c r="IX82" i="13"/>
  <c r="JB82" i="13"/>
  <c r="IX83" i="13"/>
  <c r="JB83" i="13"/>
  <c r="IZ86" i="13"/>
  <c r="IZ90" i="13" s="1"/>
  <c r="IY66" i="13"/>
  <c r="IY69" i="13"/>
  <c r="IY70" i="13"/>
  <c r="IY71" i="13"/>
  <c r="IY72" i="13"/>
  <c r="IY73" i="13"/>
  <c r="IY74" i="13"/>
  <c r="IY75" i="13"/>
  <c r="IY76" i="13"/>
  <c r="IY79" i="13"/>
  <c r="IY82" i="13"/>
  <c r="IY83" i="13"/>
  <c r="IZ66" i="13"/>
  <c r="IX67" i="13"/>
  <c r="JB67" i="13"/>
  <c r="IZ69" i="13"/>
  <c r="IZ70" i="13"/>
  <c r="IZ71" i="13"/>
  <c r="IZ72" i="13"/>
  <c r="IZ73" i="13"/>
  <c r="IZ74" i="13"/>
  <c r="IZ75" i="13"/>
  <c r="IZ76" i="13"/>
  <c r="IX77" i="13"/>
  <c r="JB77" i="13"/>
  <c r="IZ79" i="13"/>
  <c r="IX80" i="13"/>
  <c r="JB80" i="13"/>
  <c r="IZ82" i="13"/>
  <c r="IZ83" i="13"/>
  <c r="IX86" i="13"/>
  <c r="IX90" i="13" s="1"/>
  <c r="JB86" i="13"/>
  <c r="JB90" i="13" s="1"/>
  <c r="IT86" i="13"/>
  <c r="IT90" i="13" s="1"/>
  <c r="IS66" i="13"/>
  <c r="IQ67" i="13"/>
  <c r="IU67" i="13"/>
  <c r="IS69" i="13"/>
  <c r="IS70" i="13"/>
  <c r="IS71" i="13"/>
  <c r="IS72" i="13"/>
  <c r="IS73" i="13"/>
  <c r="IS74" i="13"/>
  <c r="IS75" i="13"/>
  <c r="IS76" i="13"/>
  <c r="IQ77" i="13"/>
  <c r="IU77" i="13"/>
  <c r="IS79" i="13"/>
  <c r="IQ80" i="13"/>
  <c r="IU80" i="13"/>
  <c r="IS82" i="13"/>
  <c r="IQ82" i="13"/>
  <c r="IS83" i="13"/>
  <c r="IQ86" i="13"/>
  <c r="IQ90" i="13" s="1"/>
  <c r="IU86" i="13"/>
  <c r="IU90" i="13" s="1"/>
  <c r="IT72" i="13"/>
  <c r="IT73" i="13"/>
  <c r="IT75" i="13"/>
  <c r="IT76" i="13"/>
  <c r="IR77" i="13"/>
  <c r="IV77" i="13"/>
  <c r="IT79" i="13"/>
  <c r="IT82" i="13"/>
  <c r="IT83" i="13"/>
  <c r="IR86" i="13"/>
  <c r="IR90" i="13" s="1"/>
  <c r="IV86" i="13"/>
  <c r="IV90" i="13" s="1"/>
  <c r="IR66" i="13"/>
  <c r="IV66" i="13"/>
  <c r="IT66" i="13"/>
  <c r="IT67" i="13"/>
  <c r="IR69" i="13"/>
  <c r="IV69" i="13"/>
  <c r="IR70" i="13"/>
  <c r="IV70" i="13"/>
  <c r="IT70" i="13"/>
  <c r="IR71" i="13"/>
  <c r="IV71" i="13"/>
  <c r="IR72" i="13"/>
  <c r="IV72" i="13"/>
  <c r="IR73" i="13"/>
  <c r="IV73" i="13"/>
  <c r="IR74" i="13"/>
  <c r="IV74" i="13"/>
  <c r="IT74" i="13"/>
  <c r="IR75" i="13"/>
  <c r="IV75" i="13"/>
  <c r="IR76" i="13"/>
  <c r="IV76" i="13"/>
  <c r="IT77" i="13"/>
  <c r="IR79" i="13"/>
  <c r="IV79" i="13"/>
  <c r="IT80" i="13"/>
  <c r="IR80" i="13"/>
  <c r="IV80" i="13"/>
  <c r="IR82" i="13"/>
  <c r="IV82" i="13"/>
  <c r="IR83" i="13"/>
  <c r="IV83" i="13"/>
  <c r="IQ66" i="13"/>
  <c r="IU66" i="13"/>
  <c r="IS67" i="13"/>
  <c r="IQ69" i="13"/>
  <c r="IU69" i="13"/>
  <c r="IQ70" i="13"/>
  <c r="IU70" i="13"/>
  <c r="IQ71" i="13"/>
  <c r="IU71" i="13"/>
  <c r="IQ72" i="13"/>
  <c r="IU72" i="13"/>
  <c r="IQ73" i="13"/>
  <c r="IU73" i="13"/>
  <c r="IQ74" i="13"/>
  <c r="IU74" i="13"/>
  <c r="IQ75" i="13"/>
  <c r="IU75" i="13"/>
  <c r="IQ76" i="13"/>
  <c r="IU76" i="13"/>
  <c r="IS77" i="13"/>
  <c r="IQ79" i="13"/>
  <c r="IU79" i="13"/>
  <c r="IS80" i="13"/>
  <c r="IU82" i="13"/>
  <c r="IQ83" i="13"/>
  <c r="IU83" i="13"/>
  <c r="IS86" i="13"/>
  <c r="IS90" i="13" s="1"/>
  <c r="IM87" i="13"/>
  <c r="IL87" i="13"/>
  <c r="II87" i="13"/>
  <c r="IM85" i="13"/>
  <c r="IL85" i="13"/>
  <c r="IJ85" i="13"/>
  <c r="II85" i="13"/>
  <c r="IL84" i="13"/>
  <c r="IJ84" i="13"/>
  <c r="II84" i="13"/>
  <c r="IL83" i="13"/>
  <c r="IL81" i="13"/>
  <c r="IJ81" i="13"/>
  <c r="II81" i="13"/>
  <c r="IL79" i="13"/>
  <c r="IL78" i="13"/>
  <c r="II78" i="13"/>
  <c r="IJ76" i="13"/>
  <c r="IL74" i="13"/>
  <c r="IL73" i="13"/>
  <c r="IL72" i="13"/>
  <c r="IL71" i="13"/>
  <c r="IL68" i="13"/>
  <c r="IJ68" i="13"/>
  <c r="II68" i="13"/>
  <c r="IF87" i="13"/>
  <c r="IF85" i="13"/>
  <c r="IF84" i="13"/>
  <c r="IF81" i="13"/>
  <c r="IF78" i="13"/>
  <c r="IF68" i="13"/>
  <c r="ID87" i="13"/>
  <c r="IC87" i="13"/>
  <c r="IC85" i="13"/>
  <c r="IC84" i="13"/>
  <c r="IC81" i="13"/>
  <c r="ID78" i="13"/>
  <c r="IC78" i="13"/>
  <c r="IC68" i="13"/>
  <c r="HS87" i="13"/>
  <c r="HS85" i="13"/>
  <c r="HS84" i="13"/>
  <c r="HP87" i="13"/>
  <c r="HP85" i="13"/>
  <c r="HP78" i="13"/>
  <c r="HM87" i="13"/>
  <c r="HM81" i="13"/>
  <c r="IA87" i="13"/>
  <c r="HZ87" i="13"/>
  <c r="HX87" i="13"/>
  <c r="HW87" i="13"/>
  <c r="IA85" i="13"/>
  <c r="HZ85" i="13"/>
  <c r="HX85" i="13"/>
  <c r="HW85" i="13"/>
  <c r="IA84" i="13"/>
  <c r="HZ84" i="13"/>
  <c r="HX84" i="13"/>
  <c r="HW84" i="13"/>
  <c r="IA81" i="13"/>
  <c r="HZ81" i="13"/>
  <c r="HX81" i="13"/>
  <c r="HW81" i="13"/>
  <c r="HW80" i="13"/>
  <c r="IA79" i="13"/>
  <c r="IA78" i="13"/>
  <c r="HZ78" i="13"/>
  <c r="HX78" i="13"/>
  <c r="HW78" i="13"/>
  <c r="IA76" i="13"/>
  <c r="IA68" i="13"/>
  <c r="HZ68" i="13"/>
  <c r="HX68" i="13"/>
  <c r="HW68" i="13"/>
  <c r="HR87" i="13"/>
  <c r="HO87" i="13"/>
  <c r="HL87" i="13"/>
  <c r="HR85" i="13"/>
  <c r="HO85" i="13"/>
  <c r="HL85" i="13"/>
  <c r="HR84" i="13"/>
  <c r="HO84" i="13"/>
  <c r="HL84" i="13"/>
  <c r="HR81" i="13"/>
  <c r="HO81" i="13"/>
  <c r="HL81" i="13"/>
  <c r="HR78" i="13"/>
  <c r="HO78" i="13"/>
  <c r="HL78" i="13"/>
  <c r="HR68" i="13"/>
  <c r="HO68" i="13"/>
  <c r="HL68" i="13"/>
  <c r="GX85" i="13"/>
  <c r="GW85" i="13"/>
  <c r="GV85" i="13"/>
  <c r="GX84" i="13"/>
  <c r="GW84" i="13"/>
  <c r="GV84" i="13"/>
  <c r="GX81" i="13"/>
  <c r="GW81" i="13"/>
  <c r="GV81" i="13"/>
  <c r="GX78" i="13"/>
  <c r="GW78" i="13"/>
  <c r="GV78" i="13"/>
  <c r="GX68" i="13"/>
  <c r="GW68" i="13"/>
  <c r="GV68" i="13"/>
  <c r="GX87" i="13"/>
  <c r="GW87" i="13"/>
  <c r="GV87" i="13"/>
  <c r="HH87" i="13"/>
  <c r="HH85" i="13"/>
  <c r="HH84" i="13"/>
  <c r="HG84" i="13"/>
  <c r="HH81" i="13"/>
  <c r="HG81" i="13"/>
  <c r="HH78" i="13"/>
  <c r="HH68" i="13"/>
  <c r="GM87" i="13"/>
  <c r="GM85" i="13"/>
  <c r="GM81" i="13"/>
  <c r="GM78" i="13"/>
  <c r="GM68" i="13"/>
  <c r="HE87" i="13"/>
  <c r="HD87" i="13"/>
  <c r="HE85" i="13"/>
  <c r="HD85" i="13"/>
  <c r="HD84" i="13"/>
  <c r="HE81" i="13"/>
  <c r="HE78" i="13"/>
  <c r="HE68" i="13"/>
  <c r="GU87" i="13"/>
  <c r="GT87" i="13"/>
  <c r="GS87" i="13"/>
  <c r="GU85" i="13"/>
  <c r="GT85" i="13"/>
  <c r="GS85" i="13"/>
  <c r="GU84" i="13"/>
  <c r="GT84" i="13"/>
  <c r="GS84" i="13"/>
  <c r="GU81" i="13"/>
  <c r="GT81" i="13"/>
  <c r="GS81" i="13"/>
  <c r="GU78" i="13"/>
  <c r="GT78" i="13"/>
  <c r="GS78" i="13"/>
  <c r="GU68" i="13"/>
  <c r="GT68" i="13"/>
  <c r="GS68" i="13"/>
  <c r="GL87" i="13"/>
  <c r="GL85" i="13"/>
  <c r="GL84" i="13"/>
  <c r="GL81" i="13"/>
  <c r="GL78" i="13"/>
  <c r="GL68" i="13"/>
  <c r="HB87" i="13"/>
  <c r="HA87" i="13"/>
  <c r="HB85" i="13"/>
  <c r="HA85" i="13"/>
  <c r="HB84" i="13"/>
  <c r="HA84" i="13"/>
  <c r="HB81" i="13"/>
  <c r="HA81" i="13"/>
  <c r="HB78" i="13"/>
  <c r="HA78" i="13"/>
  <c r="HB68" i="13"/>
  <c r="HA68" i="13"/>
  <c r="GR87" i="13"/>
  <c r="GQ87" i="13"/>
  <c r="GP87" i="13"/>
  <c r="GR85" i="13"/>
  <c r="GQ85" i="13"/>
  <c r="GP85" i="13"/>
  <c r="GR84" i="13"/>
  <c r="GQ84" i="13"/>
  <c r="GP84" i="13"/>
  <c r="GR81" i="13"/>
  <c r="GQ81" i="13"/>
  <c r="GP81" i="13"/>
  <c r="GR78" i="13"/>
  <c r="GQ78" i="13"/>
  <c r="GP78" i="13"/>
  <c r="GR68" i="13"/>
  <c r="GQ68" i="13"/>
  <c r="GP68" i="13"/>
  <c r="GK87" i="13"/>
  <c r="GK85" i="13"/>
  <c r="GK81" i="13"/>
  <c r="GK78" i="13"/>
  <c r="GK68" i="13"/>
  <c r="HW76" i="13" l="1"/>
  <c r="HX76" i="13"/>
  <c r="B74" i="11"/>
  <c r="JY102" i="13"/>
  <c r="E74" i="11"/>
  <c r="KB102" i="13"/>
  <c r="D74" i="11"/>
  <c r="KA102" i="13"/>
  <c r="C74" i="11"/>
  <c r="JZ102" i="13"/>
  <c r="IJ69" i="13"/>
  <c r="IA73" i="13"/>
  <c r="IA83" i="13"/>
  <c r="IJ70" i="13"/>
  <c r="IJ73" i="13"/>
  <c r="HX67" i="13"/>
  <c r="HX82" i="13"/>
  <c r="HX83" i="13"/>
  <c r="IM80" i="13"/>
  <c r="IA75" i="13"/>
  <c r="II74" i="13"/>
  <c r="HX66" i="13"/>
  <c r="IM72" i="13"/>
  <c r="IN72" i="13" s="1"/>
  <c r="HX70" i="13"/>
  <c r="HX71" i="13"/>
  <c r="HX73" i="13"/>
  <c r="HX74" i="13"/>
  <c r="IM83" i="13"/>
  <c r="IN83" i="13" s="1"/>
  <c r="IA69" i="13"/>
  <c r="IA71" i="13"/>
  <c r="IA66" i="13"/>
  <c r="IA70" i="13"/>
  <c r="IA72" i="13"/>
  <c r="IA74" i="13"/>
  <c r="IJ74" i="13"/>
  <c r="HZ66" i="13"/>
  <c r="HZ69" i="13"/>
  <c r="IB69" i="13" s="1"/>
  <c r="HZ72" i="13"/>
  <c r="HZ73" i="13"/>
  <c r="IM69" i="13"/>
  <c r="HZ80" i="13"/>
  <c r="II66" i="13"/>
  <c r="II77" i="13"/>
  <c r="II79" i="13"/>
  <c r="IL70" i="13"/>
  <c r="IL86" i="13"/>
  <c r="IL90" i="13" s="1"/>
  <c r="HW73" i="13"/>
  <c r="IL77" i="13"/>
  <c r="IL80" i="13"/>
  <c r="HZ70" i="13"/>
  <c r="HZ75" i="13"/>
  <c r="HZ86" i="13"/>
  <c r="HZ90" i="13" s="1"/>
  <c r="HW66" i="13"/>
  <c r="HW72" i="13"/>
  <c r="HW77" i="13"/>
  <c r="HW79" i="13"/>
  <c r="HX69" i="13"/>
  <c r="HX72" i="13"/>
  <c r="HX75" i="13"/>
  <c r="HX79" i="13"/>
  <c r="HZ71" i="13"/>
  <c r="HZ74" i="13"/>
  <c r="HZ76" i="13"/>
  <c r="IB76" i="13" s="1"/>
  <c r="HZ79" i="13"/>
  <c r="IB79" i="13" s="1"/>
  <c r="HZ82" i="13"/>
  <c r="HZ83" i="13"/>
  <c r="II69" i="13"/>
  <c r="II83" i="13"/>
  <c r="HZ67" i="13"/>
  <c r="JF89" i="13"/>
  <c r="II86" i="13"/>
  <c r="II90" i="13" s="1"/>
  <c r="IJ77" i="13"/>
  <c r="HW69" i="13"/>
  <c r="JD89" i="13"/>
  <c r="IX88" i="13"/>
  <c r="HX80" i="13"/>
  <c r="HY80" i="13" s="1"/>
  <c r="IM79" i="13"/>
  <c r="IN79" i="13" s="1"/>
  <c r="IL75" i="13"/>
  <c r="HZ77" i="13"/>
  <c r="IM71" i="13"/>
  <c r="IN71" i="13" s="1"/>
  <c r="IM76" i="13"/>
  <c r="JF88" i="13"/>
  <c r="JF91" i="13" s="1"/>
  <c r="IN11" i="13"/>
  <c r="IN33" i="13"/>
  <c r="JE89" i="13"/>
  <c r="JE88" i="13"/>
  <c r="JH88" i="13"/>
  <c r="IL67" i="13"/>
  <c r="JH89" i="13"/>
  <c r="JD88" i="13"/>
  <c r="JD91" i="13" s="1"/>
  <c r="IK20" i="13"/>
  <c r="IK22" i="13"/>
  <c r="IK24" i="13"/>
  <c r="IK25" i="13"/>
  <c r="JG89" i="13"/>
  <c r="II67" i="13"/>
  <c r="II70" i="13"/>
  <c r="II76" i="13"/>
  <c r="IK76" i="13" s="1"/>
  <c r="II80" i="13"/>
  <c r="II82" i="13"/>
  <c r="JC89" i="13"/>
  <c r="JG88" i="13"/>
  <c r="JC88" i="13"/>
  <c r="IN10" i="13"/>
  <c r="IK55" i="13"/>
  <c r="IN12" i="13"/>
  <c r="IN13" i="13"/>
  <c r="IN15" i="13"/>
  <c r="IN16" i="13"/>
  <c r="IN17" i="13"/>
  <c r="IN27" i="13"/>
  <c r="IL82" i="13"/>
  <c r="IK46" i="13"/>
  <c r="IK54" i="13"/>
  <c r="IK56" i="13"/>
  <c r="HT13" i="13"/>
  <c r="HT17" i="13"/>
  <c r="HT41" i="13"/>
  <c r="HT45" i="13"/>
  <c r="II75" i="13"/>
  <c r="IN34" i="13"/>
  <c r="IN40" i="13"/>
  <c r="IN41" i="13"/>
  <c r="IN49" i="13"/>
  <c r="IN60" i="13"/>
  <c r="IM73" i="13"/>
  <c r="IN73" i="13" s="1"/>
  <c r="HW71" i="13"/>
  <c r="HW75" i="13"/>
  <c r="HW82" i="13"/>
  <c r="HY82" i="13" s="1"/>
  <c r="HW83" i="13"/>
  <c r="HY83" i="13" s="1"/>
  <c r="IW89" i="13"/>
  <c r="JA88" i="13"/>
  <c r="IW88" i="13"/>
  <c r="ID67" i="13"/>
  <c r="ID70" i="13"/>
  <c r="ID71" i="13"/>
  <c r="IG80" i="13"/>
  <c r="IY89" i="13"/>
  <c r="JB89" i="13"/>
  <c r="JB88" i="13"/>
  <c r="IH35" i="13"/>
  <c r="JA89" i="13"/>
  <c r="IE11" i="13"/>
  <c r="IE41" i="13"/>
  <c r="IE43" i="13"/>
  <c r="IE59" i="13"/>
  <c r="IH10" i="13"/>
  <c r="IH12" i="13"/>
  <c r="IH56" i="13"/>
  <c r="IH58" i="13"/>
  <c r="IH60" i="13"/>
  <c r="IF66" i="13"/>
  <c r="IF70" i="13"/>
  <c r="IY88" i="13"/>
  <c r="IZ89" i="13"/>
  <c r="IZ88" i="13"/>
  <c r="IX89" i="13"/>
  <c r="HQ15" i="13"/>
  <c r="HQ31" i="13"/>
  <c r="HQ35" i="13"/>
  <c r="HQ39" i="13"/>
  <c r="HQ47" i="13"/>
  <c r="HQ51" i="13"/>
  <c r="HQ55" i="13"/>
  <c r="HQ63" i="13"/>
  <c r="IC69" i="13"/>
  <c r="IC70" i="13"/>
  <c r="IC74" i="13"/>
  <c r="IC75" i="13"/>
  <c r="IC76" i="13"/>
  <c r="IE32" i="13"/>
  <c r="IE34" i="13"/>
  <c r="IE36" i="13"/>
  <c r="IE38" i="13"/>
  <c r="ID86" i="13"/>
  <c r="IH37" i="13"/>
  <c r="IH39" i="13"/>
  <c r="IH51" i="13"/>
  <c r="IH53" i="13"/>
  <c r="IH55" i="13"/>
  <c r="IH65" i="13"/>
  <c r="IE63" i="13"/>
  <c r="IE87" i="13"/>
  <c r="IH9" i="13"/>
  <c r="IH11" i="13"/>
  <c r="IH17" i="13"/>
  <c r="IG69" i="13"/>
  <c r="IF77" i="13"/>
  <c r="IH47" i="13"/>
  <c r="IF83" i="13"/>
  <c r="IF86" i="13"/>
  <c r="IF90" i="13" s="1"/>
  <c r="IC86" i="13"/>
  <c r="IF69" i="13"/>
  <c r="HP69" i="13"/>
  <c r="HP71" i="13"/>
  <c r="IE55" i="13"/>
  <c r="IQ88" i="13"/>
  <c r="IS89" i="13"/>
  <c r="HW67" i="13"/>
  <c r="IV89" i="13"/>
  <c r="IR89" i="13"/>
  <c r="IT89" i="13"/>
  <c r="IS88" i="13"/>
  <c r="IT88" i="13"/>
  <c r="IA80" i="13"/>
  <c r="IA82" i="13"/>
  <c r="IQ89" i="13"/>
  <c r="HN81" i="13"/>
  <c r="HX77" i="13"/>
  <c r="HY78" i="13"/>
  <c r="IV88" i="13"/>
  <c r="HW86" i="13"/>
  <c r="HW90" i="13" s="1"/>
  <c r="HX86" i="13"/>
  <c r="HX90" i="13" s="1"/>
  <c r="HN9" i="13"/>
  <c r="HN13" i="13"/>
  <c r="HN17" i="13"/>
  <c r="HM70" i="13"/>
  <c r="HN25" i="13"/>
  <c r="HM74" i="13"/>
  <c r="HN33" i="13"/>
  <c r="HN37" i="13"/>
  <c r="HN41" i="13"/>
  <c r="HN45" i="13"/>
  <c r="HN49" i="13"/>
  <c r="HM83" i="13"/>
  <c r="HN61" i="13"/>
  <c r="HN87" i="13"/>
  <c r="IU89" i="13"/>
  <c r="IU88" i="13"/>
  <c r="IR88" i="13"/>
  <c r="HY87" i="13"/>
  <c r="HM69" i="13"/>
  <c r="IN45" i="13"/>
  <c r="IN47" i="13"/>
  <c r="IM77" i="13"/>
  <c r="HS77" i="13"/>
  <c r="HS80" i="13"/>
  <c r="IK12" i="13"/>
  <c r="IK13" i="13"/>
  <c r="IK15" i="13"/>
  <c r="II71" i="13"/>
  <c r="IN25" i="13"/>
  <c r="IN26" i="13"/>
  <c r="IK38" i="13"/>
  <c r="IK39" i="13"/>
  <c r="IK40" i="13"/>
  <c r="IK41" i="13"/>
  <c r="IN50" i="13"/>
  <c r="IK28" i="13"/>
  <c r="IK30" i="13"/>
  <c r="IN44" i="13"/>
  <c r="IK62" i="13"/>
  <c r="HS72" i="13"/>
  <c r="HT33" i="13"/>
  <c r="HS83" i="13"/>
  <c r="IM66" i="13"/>
  <c r="II73" i="13"/>
  <c r="IN28" i="13"/>
  <c r="IK47" i="13"/>
  <c r="IN57" i="13"/>
  <c r="IN58" i="13"/>
  <c r="IE13" i="13"/>
  <c r="IE25" i="13"/>
  <c r="ID73" i="13"/>
  <c r="IE39" i="13"/>
  <c r="IE48" i="13"/>
  <c r="IE50" i="13"/>
  <c r="IE52" i="13"/>
  <c r="IE54" i="13"/>
  <c r="IH15" i="13"/>
  <c r="IH24" i="13"/>
  <c r="IH26" i="13"/>
  <c r="IH28" i="13"/>
  <c r="IH30" i="13"/>
  <c r="IH32" i="13"/>
  <c r="IH34" i="13"/>
  <c r="IH41" i="13"/>
  <c r="IH49" i="13"/>
  <c r="IC72" i="13"/>
  <c r="IE27" i="13"/>
  <c r="ID74" i="13"/>
  <c r="IC80" i="13"/>
  <c r="IC82" i="13"/>
  <c r="IC83" i="13"/>
  <c r="IE64" i="13"/>
  <c r="IF71" i="13"/>
  <c r="IF72" i="13"/>
  <c r="IF73" i="13"/>
  <c r="IF74" i="13"/>
  <c r="IF80" i="13"/>
  <c r="IF79" i="13"/>
  <c r="HQ10" i="13"/>
  <c r="HP67" i="13"/>
  <c r="HQ18" i="13"/>
  <c r="HP70" i="13"/>
  <c r="HQ26" i="13"/>
  <c r="HQ30" i="13"/>
  <c r="HQ34" i="13"/>
  <c r="HQ38" i="13"/>
  <c r="HQ46" i="13"/>
  <c r="HQ50" i="13"/>
  <c r="IE16" i="13"/>
  <c r="IE18" i="13"/>
  <c r="IE20" i="13"/>
  <c r="IE22" i="13"/>
  <c r="IC73" i="13"/>
  <c r="IC77" i="13"/>
  <c r="IE45" i="13"/>
  <c r="IE47" i="13"/>
  <c r="IE57" i="13"/>
  <c r="IH19" i="13"/>
  <c r="IH23" i="13"/>
  <c r="IH33" i="13"/>
  <c r="IG76" i="13"/>
  <c r="IH44" i="13"/>
  <c r="IH46" i="13"/>
  <c r="IG87" i="13"/>
  <c r="IH87" i="13" s="1"/>
  <c r="HN12" i="13"/>
  <c r="HN24" i="13"/>
  <c r="HN28" i="13"/>
  <c r="HN40" i="13"/>
  <c r="HN44" i="13"/>
  <c r="HN56" i="13"/>
  <c r="HN60" i="13"/>
  <c r="IB78" i="13"/>
  <c r="IB87" i="13"/>
  <c r="HM82" i="13"/>
  <c r="HN10" i="13"/>
  <c r="HM67" i="13"/>
  <c r="HN18" i="13"/>
  <c r="HN22" i="13"/>
  <c r="HN26" i="13"/>
  <c r="HN30" i="13"/>
  <c r="HN34" i="13"/>
  <c r="HN38" i="13"/>
  <c r="HN42" i="13"/>
  <c r="HN46" i="13"/>
  <c r="HN50" i="13"/>
  <c r="HN54" i="13"/>
  <c r="HN58" i="13"/>
  <c r="HN62" i="13"/>
  <c r="HQ78" i="13"/>
  <c r="HN16" i="13"/>
  <c r="HN20" i="13"/>
  <c r="HN32" i="13"/>
  <c r="HN36" i="13"/>
  <c r="HN48" i="13"/>
  <c r="HN52" i="13"/>
  <c r="HN64" i="13"/>
  <c r="IA67" i="13"/>
  <c r="IB68" i="13"/>
  <c r="IB84" i="13"/>
  <c r="HN11" i="13"/>
  <c r="HN15" i="13"/>
  <c r="HN19" i="13"/>
  <c r="HN23" i="13"/>
  <c r="HN27" i="13"/>
  <c r="HN31" i="13"/>
  <c r="HN35" i="13"/>
  <c r="HN39" i="13"/>
  <c r="HN43" i="13"/>
  <c r="HN47" i="13"/>
  <c r="HN51" i="13"/>
  <c r="HN55" i="13"/>
  <c r="HN59" i="13"/>
  <c r="HN63" i="13"/>
  <c r="HM73" i="13"/>
  <c r="HY69" i="13"/>
  <c r="HY81" i="13"/>
  <c r="HM68" i="13"/>
  <c r="HN68" i="13" s="1"/>
  <c r="HM72" i="13"/>
  <c r="HM76" i="13"/>
  <c r="HM80" i="13"/>
  <c r="HM84" i="13"/>
  <c r="HN84" i="13" s="1"/>
  <c r="HQ9" i="13"/>
  <c r="HQ13" i="13"/>
  <c r="HQ17" i="13"/>
  <c r="HQ21" i="13"/>
  <c r="HQ25" i="13"/>
  <c r="HQ29" i="13"/>
  <c r="HQ33" i="13"/>
  <c r="HQ37" i="13"/>
  <c r="HQ41" i="13"/>
  <c r="HQ45" i="13"/>
  <c r="HQ49" i="13"/>
  <c r="HQ53" i="13"/>
  <c r="HP83" i="13"/>
  <c r="HQ87" i="13"/>
  <c r="HT10" i="13"/>
  <c r="HT14" i="13"/>
  <c r="HT18" i="13"/>
  <c r="HT22" i="13"/>
  <c r="HT26" i="13"/>
  <c r="HT30" i="13"/>
  <c r="HT34" i="13"/>
  <c r="HT38" i="13"/>
  <c r="HT42" i="13"/>
  <c r="HT46" i="13"/>
  <c r="HT50" i="13"/>
  <c r="HT54" i="13"/>
  <c r="HT58" i="13"/>
  <c r="HT62" i="13"/>
  <c r="HS68" i="13"/>
  <c r="HT68" i="13" s="1"/>
  <c r="HT61" i="13"/>
  <c r="IE10" i="13"/>
  <c r="ID66" i="13"/>
  <c r="IC67" i="13"/>
  <c r="IE15" i="13"/>
  <c r="IE17" i="13"/>
  <c r="ID69" i="13"/>
  <c r="IE19" i="13"/>
  <c r="IM81" i="13"/>
  <c r="IN81" i="13" s="1"/>
  <c r="IB81" i="13"/>
  <c r="HM77" i="13"/>
  <c r="HM85" i="13"/>
  <c r="HN21" i="13"/>
  <c r="HN29" i="13"/>
  <c r="HN53" i="13"/>
  <c r="HN65" i="13"/>
  <c r="ID75" i="13"/>
  <c r="IE31" i="13"/>
  <c r="IH43" i="13"/>
  <c r="IG79" i="13"/>
  <c r="HM66" i="13"/>
  <c r="HM78" i="13"/>
  <c r="HN78" i="13" s="1"/>
  <c r="HM86" i="13"/>
  <c r="HN14" i="13"/>
  <c r="HP73" i="13"/>
  <c r="HQ27" i="13"/>
  <c r="HP79" i="13"/>
  <c r="HQ43" i="13"/>
  <c r="HQ59" i="13"/>
  <c r="HT12" i="13"/>
  <c r="HT20" i="13"/>
  <c r="HT28" i="13"/>
  <c r="HT36" i="13"/>
  <c r="HT52" i="13"/>
  <c r="HT56" i="13"/>
  <c r="HT64" i="13"/>
  <c r="IA77" i="13"/>
  <c r="IB85" i="13"/>
  <c r="IA86" i="13"/>
  <c r="HN57" i="13"/>
  <c r="HT65" i="13"/>
  <c r="IE9" i="13"/>
  <c r="IC66" i="13"/>
  <c r="HW70" i="13"/>
  <c r="HW74" i="13"/>
  <c r="HQ11" i="13"/>
  <c r="HP75" i="13"/>
  <c r="HP76" i="13"/>
  <c r="HQ19" i="13"/>
  <c r="HT16" i="13"/>
  <c r="HT24" i="13"/>
  <c r="HT32" i="13"/>
  <c r="HT44" i="13"/>
  <c r="IF75" i="13"/>
  <c r="IH31" i="13"/>
  <c r="IK65" i="13"/>
  <c r="IJ87" i="13"/>
  <c r="IK87" i="13" s="1"/>
  <c r="IK68" i="13"/>
  <c r="HY68" i="13"/>
  <c r="HY84" i="13"/>
  <c r="HM71" i="13"/>
  <c r="HM75" i="13"/>
  <c r="HM79" i="13"/>
  <c r="HQ12" i="13"/>
  <c r="HQ16" i="13"/>
  <c r="HQ20" i="13"/>
  <c r="HQ24" i="13"/>
  <c r="HQ28" i="13"/>
  <c r="HQ32" i="13"/>
  <c r="HQ36" i="13"/>
  <c r="HQ40" i="13"/>
  <c r="HQ44" i="13"/>
  <c r="HQ48" i="13"/>
  <c r="HQ52" i="13"/>
  <c r="HQ56" i="13"/>
  <c r="HQ60" i="13"/>
  <c r="HQ64" i="13"/>
  <c r="HQ23" i="13"/>
  <c r="HS66" i="13"/>
  <c r="HT9" i="13"/>
  <c r="HS70" i="13"/>
  <c r="HT21" i="13"/>
  <c r="HS74" i="13"/>
  <c r="HT29" i="13"/>
  <c r="HT37" i="13"/>
  <c r="HT49" i="13"/>
  <c r="HT53" i="13"/>
  <c r="HT85" i="13"/>
  <c r="HT87" i="13"/>
  <c r="HT25" i="13"/>
  <c r="HT57" i="13"/>
  <c r="IC71" i="13"/>
  <c r="IE23" i="13"/>
  <c r="IE40" i="13"/>
  <c r="ID77" i="13"/>
  <c r="IE49" i="13"/>
  <c r="IE51" i="13"/>
  <c r="ID82" i="13"/>
  <c r="ID79" i="13"/>
  <c r="IH21" i="13"/>
  <c r="IG70" i="13"/>
  <c r="IG71" i="13"/>
  <c r="IM82" i="13"/>
  <c r="IN51" i="13"/>
  <c r="HQ54" i="13"/>
  <c r="HQ58" i="13"/>
  <c r="HP86" i="13"/>
  <c r="HT11" i="13"/>
  <c r="HT15" i="13"/>
  <c r="HS69" i="13"/>
  <c r="HS71" i="13"/>
  <c r="HS73" i="13"/>
  <c r="HS75" i="13"/>
  <c r="HT35" i="13"/>
  <c r="HT39" i="13"/>
  <c r="HS79" i="13"/>
  <c r="HT47" i="13"/>
  <c r="HT51" i="13"/>
  <c r="HT55" i="13"/>
  <c r="HT59" i="13"/>
  <c r="HT63" i="13"/>
  <c r="IE24" i="13"/>
  <c r="IE26" i="13"/>
  <c r="IE33" i="13"/>
  <c r="ID76" i="13"/>
  <c r="IE35" i="13"/>
  <c r="IE56" i="13"/>
  <c r="IE58" i="13"/>
  <c r="IE65" i="13"/>
  <c r="ID83" i="13"/>
  <c r="IG66" i="13"/>
  <c r="IF82" i="13"/>
  <c r="IL66" i="13"/>
  <c r="IN9" i="13"/>
  <c r="IK14" i="13"/>
  <c r="IJ67" i="13"/>
  <c r="IK16" i="13"/>
  <c r="IK17" i="13"/>
  <c r="IN19" i="13"/>
  <c r="IN20" i="13"/>
  <c r="IM70" i="13"/>
  <c r="IN21" i="13"/>
  <c r="IK31" i="13"/>
  <c r="IJ75" i="13"/>
  <c r="IK32" i="13"/>
  <c r="IK33" i="13"/>
  <c r="IN35" i="13"/>
  <c r="IN36" i="13"/>
  <c r="IN37" i="13"/>
  <c r="IN39" i="13"/>
  <c r="IN85" i="13"/>
  <c r="IK84" i="13"/>
  <c r="IC79" i="13"/>
  <c r="IE61" i="13"/>
  <c r="ID85" i="13"/>
  <c r="IE85" i="13" s="1"/>
  <c r="IH14" i="13"/>
  <c r="IG67" i="13"/>
  <c r="IH16" i="13"/>
  <c r="IH18" i="13"/>
  <c r="IG68" i="13"/>
  <c r="IH25" i="13"/>
  <c r="IG73" i="13"/>
  <c r="IH27" i="13"/>
  <c r="IG75" i="13"/>
  <c r="IH48" i="13"/>
  <c r="IH50" i="13"/>
  <c r="IG81" i="13"/>
  <c r="IH81" i="13" s="1"/>
  <c r="IH57" i="13"/>
  <c r="IG83" i="13"/>
  <c r="IH61" i="13"/>
  <c r="IG85" i="13"/>
  <c r="IH85" i="13" s="1"/>
  <c r="IH63" i="13"/>
  <c r="IG72" i="13"/>
  <c r="IN18" i="13"/>
  <c r="IM68" i="13"/>
  <c r="IK48" i="13"/>
  <c r="IJ80" i="13"/>
  <c r="IK49" i="13"/>
  <c r="IN52" i="13"/>
  <c r="IN53" i="13"/>
  <c r="IN55" i="13"/>
  <c r="IE12" i="13"/>
  <c r="IE14" i="13"/>
  <c r="IE21" i="13"/>
  <c r="IE28" i="13"/>
  <c r="IE30" i="13"/>
  <c r="IE37" i="13"/>
  <c r="IE44" i="13"/>
  <c r="IE46" i="13"/>
  <c r="IE53" i="13"/>
  <c r="IE60" i="13"/>
  <c r="ID68" i="13"/>
  <c r="ID72" i="13"/>
  <c r="ID80" i="13"/>
  <c r="ID84" i="13"/>
  <c r="IH13" i="13"/>
  <c r="IH20" i="13"/>
  <c r="IH22" i="13"/>
  <c r="IH29" i="13"/>
  <c r="IG74" i="13"/>
  <c r="IF76" i="13"/>
  <c r="IH36" i="13"/>
  <c r="IH38" i="13"/>
  <c r="IH45" i="13"/>
  <c r="IH52" i="13"/>
  <c r="IH54" i="13"/>
  <c r="II72" i="13"/>
  <c r="IN42" i="13"/>
  <c r="IM78" i="13"/>
  <c r="IN78" i="13" s="1"/>
  <c r="IJ72" i="13"/>
  <c r="IM84" i="13"/>
  <c r="ID81" i="13"/>
  <c r="IE81" i="13" s="1"/>
  <c r="IF67" i="13"/>
  <c r="IH40" i="13"/>
  <c r="IG77" i="13"/>
  <c r="IH42" i="13"/>
  <c r="IG78" i="13"/>
  <c r="IH78" i="13" s="1"/>
  <c r="IG82" i="13"/>
  <c r="IH62" i="13"/>
  <c r="IG86" i="13"/>
  <c r="IG84" i="13"/>
  <c r="IK9" i="13"/>
  <c r="IJ66" i="13"/>
  <c r="IL69" i="13"/>
  <c r="IK23" i="13"/>
  <c r="IJ71" i="13"/>
  <c r="IM74" i="13"/>
  <c r="IN74" i="13" s="1"/>
  <c r="IN29" i="13"/>
  <c r="IM75" i="13"/>
  <c r="IL76" i="13"/>
  <c r="IN43" i="13"/>
  <c r="IK57" i="13"/>
  <c r="IJ83" i="13"/>
  <c r="IN61" i="13"/>
  <c r="IN62" i="13"/>
  <c r="IM86" i="13"/>
  <c r="IN63" i="13"/>
  <c r="IN87" i="13"/>
  <c r="IK81" i="13"/>
  <c r="IH64" i="13"/>
  <c r="IK10" i="13"/>
  <c r="IK11" i="13"/>
  <c r="IN14" i="13"/>
  <c r="IK18" i="13"/>
  <c r="IK19" i="13"/>
  <c r="IN22" i="13"/>
  <c r="IK26" i="13"/>
  <c r="IK27" i="13"/>
  <c r="IN30" i="13"/>
  <c r="IK34" i="13"/>
  <c r="IK35" i="13"/>
  <c r="IN38" i="13"/>
  <c r="IK42" i="13"/>
  <c r="IK43" i="13"/>
  <c r="IN46" i="13"/>
  <c r="IK50" i="13"/>
  <c r="IK51" i="13"/>
  <c r="IN54" i="13"/>
  <c r="IK58" i="13"/>
  <c r="IK59" i="13"/>
  <c r="IK60" i="13"/>
  <c r="IN64" i="13"/>
  <c r="IJ78" i="13"/>
  <c r="IK78" i="13" s="1"/>
  <c r="IJ82" i="13"/>
  <c r="IJ86" i="13"/>
  <c r="IK21" i="13"/>
  <c r="IN23" i="13"/>
  <c r="IN24" i="13"/>
  <c r="IN31" i="13"/>
  <c r="IN32" i="13"/>
  <c r="IK37" i="13"/>
  <c r="IK44" i="13"/>
  <c r="IK45" i="13"/>
  <c r="IN48" i="13"/>
  <c r="IK52" i="13"/>
  <c r="IK53" i="13"/>
  <c r="IN56" i="13"/>
  <c r="IK63" i="13"/>
  <c r="IN65" i="13"/>
  <c r="IJ79" i="13"/>
  <c r="IM67" i="13"/>
  <c r="HT84" i="13"/>
  <c r="HS76" i="13"/>
  <c r="HS78" i="13"/>
  <c r="HT78" i="13" s="1"/>
  <c r="HS82" i="13"/>
  <c r="HS86" i="13"/>
  <c r="HT19" i="13"/>
  <c r="HT23" i="13"/>
  <c r="HT27" i="13"/>
  <c r="HT31" i="13"/>
  <c r="HT43" i="13"/>
  <c r="HS67" i="13"/>
  <c r="HT40" i="13"/>
  <c r="HT48" i="13"/>
  <c r="HT60" i="13"/>
  <c r="HS81" i="13"/>
  <c r="HT81" i="13" s="1"/>
  <c r="HQ85" i="13"/>
  <c r="HP66" i="13"/>
  <c r="HP74" i="13"/>
  <c r="HP82" i="13"/>
  <c r="HP68" i="13"/>
  <c r="HQ68" i="13" s="1"/>
  <c r="HP72" i="13"/>
  <c r="HP80" i="13"/>
  <c r="HP84" i="13"/>
  <c r="HQ84" i="13" s="1"/>
  <c r="HQ57" i="13"/>
  <c r="HQ61" i="13"/>
  <c r="HQ65" i="13"/>
  <c r="HP77" i="13"/>
  <c r="HP81" i="13"/>
  <c r="HQ14" i="13"/>
  <c r="HQ22" i="13"/>
  <c r="HQ42" i="13"/>
  <c r="HQ62" i="13"/>
  <c r="IB50" i="13"/>
  <c r="IB30" i="13"/>
  <c r="HY19" i="13"/>
  <c r="HY23" i="13"/>
  <c r="HY31" i="13"/>
  <c r="HY38" i="13"/>
  <c r="HY43" i="13"/>
  <c r="HY51" i="13"/>
  <c r="HY9" i="13"/>
  <c r="HY11" i="13"/>
  <c r="IB9" i="13"/>
  <c r="IB10" i="13"/>
  <c r="IB11" i="13"/>
  <c r="IB16" i="13"/>
  <c r="IB17" i="13"/>
  <c r="IB18" i="13"/>
  <c r="IB19" i="13"/>
  <c r="IB22" i="13"/>
  <c r="IB42" i="13"/>
  <c r="IB58" i="13"/>
  <c r="IB60" i="13"/>
  <c r="IB61" i="13"/>
  <c r="IB62" i="13"/>
  <c r="IB64" i="13"/>
  <c r="IB65" i="13"/>
  <c r="HY10" i="13"/>
  <c r="IB24" i="13"/>
  <c r="IB26" i="13"/>
  <c r="IB32" i="13"/>
  <c r="IB34" i="13"/>
  <c r="IB37" i="13"/>
  <c r="IB39" i="13"/>
  <c r="HY59" i="13"/>
  <c r="IB14" i="13"/>
  <c r="HY27" i="13"/>
  <c r="HY39" i="13"/>
  <c r="IB44" i="13"/>
  <c r="IB45" i="13"/>
  <c r="IB46" i="13"/>
  <c r="IB47" i="13"/>
  <c r="IB52" i="13"/>
  <c r="IB53" i="13"/>
  <c r="IB54" i="13"/>
  <c r="IB55" i="13"/>
  <c r="HY15" i="13"/>
  <c r="IB25" i="13"/>
  <c r="IB27" i="13"/>
  <c r="IB33" i="13"/>
  <c r="IB36" i="13"/>
  <c r="IB38" i="13"/>
  <c r="HY47" i="13"/>
  <c r="HY55" i="13"/>
  <c r="IB15" i="13"/>
  <c r="IB20" i="13"/>
  <c r="IB21" i="13"/>
  <c r="IB31" i="13"/>
  <c r="HY42" i="13"/>
  <c r="IB43" i="13"/>
  <c r="IB48" i="13"/>
  <c r="IB49" i="13"/>
  <c r="IB12" i="13"/>
  <c r="IB13" i="13"/>
  <c r="IB23" i="13"/>
  <c r="IB28" i="13"/>
  <c r="IB29" i="13"/>
  <c r="IB35" i="13"/>
  <c r="IB40" i="13"/>
  <c r="IB41" i="13"/>
  <c r="IB51" i="13"/>
  <c r="IB56" i="13"/>
  <c r="IB57" i="13"/>
  <c r="IB63" i="13"/>
  <c r="HY14" i="13"/>
  <c r="HY18" i="13"/>
  <c r="HY22" i="13"/>
  <c r="HY26" i="13"/>
  <c r="HY30" i="13"/>
  <c r="HY34" i="13"/>
  <c r="HY46" i="13"/>
  <c r="HY50" i="13"/>
  <c r="HY58" i="13"/>
  <c r="HY12" i="13"/>
  <c r="HY16" i="13"/>
  <c r="HY20" i="13"/>
  <c r="HY24" i="13"/>
  <c r="HY28" i="13"/>
  <c r="HY32" i="13"/>
  <c r="HY40" i="13"/>
  <c r="HY44" i="13"/>
  <c r="HY48" i="13"/>
  <c r="HY52" i="13"/>
  <c r="HY56" i="13"/>
  <c r="HY60" i="13"/>
  <c r="HY54" i="13"/>
  <c r="HY13" i="13"/>
  <c r="HY17" i="13"/>
  <c r="HY21" i="13"/>
  <c r="HY25" i="13"/>
  <c r="HY33" i="13"/>
  <c r="HY37" i="13"/>
  <c r="HY41" i="13"/>
  <c r="HY45" i="13"/>
  <c r="HY49" i="13"/>
  <c r="HY53" i="13"/>
  <c r="HY57" i="13"/>
  <c r="HY65" i="13"/>
  <c r="HF13" i="13"/>
  <c r="HF17" i="13"/>
  <c r="HF21" i="13"/>
  <c r="GL72" i="13"/>
  <c r="HF53" i="13"/>
  <c r="HL77" i="13"/>
  <c r="HG77" i="13"/>
  <c r="HL69" i="13"/>
  <c r="HR70" i="13"/>
  <c r="HL71" i="13"/>
  <c r="HR72" i="13"/>
  <c r="HL73" i="13"/>
  <c r="HR74" i="13"/>
  <c r="HO77" i="13"/>
  <c r="HO80" i="13"/>
  <c r="HR83" i="13"/>
  <c r="GX70" i="13"/>
  <c r="GW77" i="13"/>
  <c r="HO70" i="13"/>
  <c r="HO72" i="13"/>
  <c r="HO74" i="13"/>
  <c r="HD80" i="13"/>
  <c r="HR86" i="13"/>
  <c r="HG86" i="13"/>
  <c r="HO73" i="13"/>
  <c r="HO75" i="13"/>
  <c r="HO76" i="13"/>
  <c r="HO82" i="13"/>
  <c r="HL86" i="13"/>
  <c r="HL90" i="13" s="1"/>
  <c r="HO67" i="13"/>
  <c r="HR69" i="13"/>
  <c r="HR71" i="13"/>
  <c r="HR73" i="13"/>
  <c r="HR75" i="13"/>
  <c r="HR79" i="13"/>
  <c r="HO83" i="13"/>
  <c r="HO86" i="13"/>
  <c r="HO90" i="13" s="1"/>
  <c r="HR66" i="13"/>
  <c r="HL67" i="13"/>
  <c r="HO69" i="13"/>
  <c r="HO71" i="13"/>
  <c r="HR76" i="13"/>
  <c r="HR77" i="13"/>
  <c r="HO79" i="13"/>
  <c r="HR80" i="13"/>
  <c r="HR82" i="13"/>
  <c r="HR90" i="13"/>
  <c r="HH83" i="13"/>
  <c r="HO66" i="13"/>
  <c r="HR67" i="13"/>
  <c r="GP69" i="13"/>
  <c r="GT73" i="13"/>
  <c r="HL70" i="13"/>
  <c r="HL74" i="13"/>
  <c r="GW69" i="13"/>
  <c r="GW73" i="13"/>
  <c r="GX76" i="13"/>
  <c r="GX80" i="13"/>
  <c r="HL80" i="13"/>
  <c r="HL66" i="13"/>
  <c r="HL72" i="13"/>
  <c r="HL83" i="13"/>
  <c r="GL69" i="13"/>
  <c r="GL71" i="13"/>
  <c r="GL73" i="13"/>
  <c r="GS69" i="13"/>
  <c r="GT80" i="13"/>
  <c r="HL75" i="13"/>
  <c r="HL76" i="13"/>
  <c r="HL79" i="13"/>
  <c r="HL82" i="13"/>
  <c r="HA67" i="13"/>
  <c r="HA75" i="13"/>
  <c r="HA76" i="13"/>
  <c r="HA77" i="13"/>
  <c r="GP70" i="13"/>
  <c r="GP72" i="13"/>
  <c r="GT70" i="13"/>
  <c r="GT72" i="13"/>
  <c r="GT74" i="13"/>
  <c r="HC32" i="13"/>
  <c r="HC48" i="13"/>
  <c r="HC56" i="13"/>
  <c r="HC60" i="13"/>
  <c r="HC84" i="13" s="1"/>
  <c r="HC64" i="13"/>
  <c r="GQ74" i="13"/>
  <c r="GR86" i="13"/>
  <c r="GR90" i="13" s="1"/>
  <c r="HB74" i="13"/>
  <c r="HB75" i="13"/>
  <c r="HB76" i="13"/>
  <c r="HB82" i="13"/>
  <c r="HB83" i="13"/>
  <c r="GL77" i="13"/>
  <c r="GL80" i="13"/>
  <c r="GU74" i="13"/>
  <c r="HI9" i="13"/>
  <c r="GM70" i="13"/>
  <c r="GM72" i="13"/>
  <c r="GM74" i="13"/>
  <c r="GV71" i="13"/>
  <c r="GV73" i="13"/>
  <c r="GX74" i="13"/>
  <c r="GV86" i="13"/>
  <c r="GV90" i="13" s="1"/>
  <c r="HH76" i="13"/>
  <c r="GU69" i="13"/>
  <c r="GS70" i="13"/>
  <c r="GU71" i="13"/>
  <c r="GS72" i="13"/>
  <c r="GU73" i="13"/>
  <c r="GS74" i="13"/>
  <c r="HI22" i="13"/>
  <c r="HI26" i="13"/>
  <c r="HI30" i="13"/>
  <c r="HI38" i="13"/>
  <c r="HI42" i="13"/>
  <c r="HI78" i="13" s="1"/>
  <c r="HI46" i="13"/>
  <c r="GW70" i="13"/>
  <c r="GW72" i="13"/>
  <c r="GV77" i="13"/>
  <c r="GV80" i="13"/>
  <c r="GS77" i="13"/>
  <c r="GT82" i="13"/>
  <c r="GU86" i="13"/>
  <c r="GU90" i="13" s="1"/>
  <c r="HE71" i="13"/>
  <c r="HF25" i="13"/>
  <c r="HE73" i="13"/>
  <c r="HF37" i="13"/>
  <c r="HE79" i="13"/>
  <c r="HI16" i="13"/>
  <c r="HH69" i="13"/>
  <c r="HH77" i="13"/>
  <c r="GL76" i="13"/>
  <c r="GP73" i="13"/>
  <c r="GP75" i="13"/>
  <c r="GS71" i="13"/>
  <c r="GS75" i="13"/>
  <c r="GU83" i="13"/>
  <c r="HF16" i="13"/>
  <c r="HF41" i="13"/>
  <c r="GV66" i="13"/>
  <c r="HI13" i="13"/>
  <c r="HH80" i="13"/>
  <c r="HI58" i="13"/>
  <c r="GX77" i="13"/>
  <c r="GK67" i="13"/>
  <c r="GK69" i="13"/>
  <c r="GK71" i="13"/>
  <c r="GK73" i="13"/>
  <c r="GK75" i="13"/>
  <c r="GK76" i="13"/>
  <c r="GK79" i="13"/>
  <c r="GP66" i="13"/>
  <c r="GQ67" i="13"/>
  <c r="GR71" i="13"/>
  <c r="GP74" i="13"/>
  <c r="GR76" i="13"/>
  <c r="GR79" i="13"/>
  <c r="GP83" i="13"/>
  <c r="HA66" i="13"/>
  <c r="HA82" i="13"/>
  <c r="HA83" i="13"/>
  <c r="GL66" i="13"/>
  <c r="GL67" i="13"/>
  <c r="GL70" i="13"/>
  <c r="GL74" i="13"/>
  <c r="GL82" i="13"/>
  <c r="GL86" i="13"/>
  <c r="GL90" i="13" s="1"/>
  <c r="GS66" i="13"/>
  <c r="GT66" i="13"/>
  <c r="GT67" i="13"/>
  <c r="GU67" i="13"/>
  <c r="GU75" i="13"/>
  <c r="GT75" i="13"/>
  <c r="GU76" i="13"/>
  <c r="GU79" i="13"/>
  <c r="GU82" i="13"/>
  <c r="GS83" i="13"/>
  <c r="GT86" i="13"/>
  <c r="GT90" i="13" s="1"/>
  <c r="HE66" i="13"/>
  <c r="HD72" i="13"/>
  <c r="HF27" i="13"/>
  <c r="HD74" i="13"/>
  <c r="HF48" i="13"/>
  <c r="HF61" i="13"/>
  <c r="HF85" i="13" s="1"/>
  <c r="HI12" i="13"/>
  <c r="HI32" i="13"/>
  <c r="HI36" i="13"/>
  <c r="HI40" i="13"/>
  <c r="HI44" i="13"/>
  <c r="GM80" i="13"/>
  <c r="HI64" i="13"/>
  <c r="HI10" i="13"/>
  <c r="HH72" i="13"/>
  <c r="HH74" i="13"/>
  <c r="HI49" i="13"/>
  <c r="HI61" i="13"/>
  <c r="HI85" i="13" s="1"/>
  <c r="GV69" i="13"/>
  <c r="GX72" i="13"/>
  <c r="GW80" i="13"/>
  <c r="HG85" i="13"/>
  <c r="HI54" i="13"/>
  <c r="HI62" i="13"/>
  <c r="GK80" i="13"/>
  <c r="GW71" i="13"/>
  <c r="GK72" i="13"/>
  <c r="GK83" i="13"/>
  <c r="GK86" i="13"/>
  <c r="GP67" i="13"/>
  <c r="GQ69" i="13"/>
  <c r="GQ71" i="13"/>
  <c r="GQ73" i="13"/>
  <c r="GQ75" i="13"/>
  <c r="GQ76" i="13"/>
  <c r="GR77" i="13"/>
  <c r="GQ79" i="13"/>
  <c r="GR80" i="13"/>
  <c r="GQ82" i="13"/>
  <c r="GP86" i="13"/>
  <c r="GP90" i="13" s="1"/>
  <c r="HB66" i="13"/>
  <c r="HB67" i="13"/>
  <c r="HC16" i="13"/>
  <c r="HF29" i="13"/>
  <c r="HF33" i="13"/>
  <c r="HF45" i="13"/>
  <c r="HF49" i="13"/>
  <c r="GT69" i="13"/>
  <c r="HF11" i="13"/>
  <c r="HF32" i="13"/>
  <c r="HD77" i="13"/>
  <c r="HE83" i="13"/>
  <c r="GM67" i="13"/>
  <c r="GM69" i="13"/>
  <c r="GM71" i="13"/>
  <c r="GM73" i="13"/>
  <c r="GM75" i="13"/>
  <c r="GM79" i="13"/>
  <c r="GM83" i="13"/>
  <c r="GM86" i="13"/>
  <c r="HI17" i="13"/>
  <c r="HG69" i="13"/>
  <c r="HG75" i="13"/>
  <c r="HI45" i="13"/>
  <c r="HI48" i="13"/>
  <c r="HI80" i="13" s="1"/>
  <c r="HI52" i="13"/>
  <c r="GX66" i="13"/>
  <c r="GW67" i="13"/>
  <c r="GX67" i="13"/>
  <c r="GV70" i="13"/>
  <c r="GX71" i="13"/>
  <c r="GV72" i="13"/>
  <c r="GV74" i="13"/>
  <c r="GX75" i="13"/>
  <c r="GV76" i="13"/>
  <c r="GX79" i="13"/>
  <c r="GX82" i="13"/>
  <c r="GW83" i="13"/>
  <c r="GX83" i="13"/>
  <c r="GX86" i="13"/>
  <c r="GX90" i="13" s="1"/>
  <c r="HC43" i="13"/>
  <c r="HB79" i="13"/>
  <c r="HF18" i="13"/>
  <c r="HF68" i="13" s="1"/>
  <c r="HD68" i="13"/>
  <c r="HF34" i="13"/>
  <c r="HE72" i="13"/>
  <c r="GK82" i="13"/>
  <c r="GR69" i="13"/>
  <c r="GR73" i="13"/>
  <c r="GR75" i="13"/>
  <c r="GR82" i="13"/>
  <c r="GQ86" i="13"/>
  <c r="GQ90" i="13" s="1"/>
  <c r="HA80" i="13"/>
  <c r="HC59" i="13"/>
  <c r="GL75" i="13"/>
  <c r="GS80" i="13"/>
  <c r="HF9" i="13"/>
  <c r="HF22" i="13"/>
  <c r="HF31" i="13"/>
  <c r="HD75" i="13"/>
  <c r="HF38" i="13"/>
  <c r="HF47" i="13"/>
  <c r="HF58" i="13"/>
  <c r="HI15" i="13"/>
  <c r="HI20" i="13"/>
  <c r="HI43" i="13"/>
  <c r="HH79" i="13"/>
  <c r="HG82" i="13"/>
  <c r="HC12" i="13"/>
  <c r="HC24" i="13"/>
  <c r="HC44" i="13"/>
  <c r="GQ66" i="13"/>
  <c r="GR67" i="13"/>
  <c r="GP77" i="13"/>
  <c r="GP80" i="13"/>
  <c r="GQ83" i="13"/>
  <c r="HC11" i="13"/>
  <c r="HA69" i="13"/>
  <c r="HA70" i="13"/>
  <c r="HA71" i="13"/>
  <c r="HA72" i="13"/>
  <c r="HA73" i="13"/>
  <c r="HA74" i="13"/>
  <c r="HC36" i="13"/>
  <c r="HB77" i="13"/>
  <c r="HB80" i="13"/>
  <c r="HC54" i="13"/>
  <c r="HA86" i="13"/>
  <c r="HA90" i="13" s="1"/>
  <c r="GU66" i="13"/>
  <c r="GU70" i="13"/>
  <c r="GU72" i="13"/>
  <c r="GS73" i="13"/>
  <c r="GS76" i="13"/>
  <c r="GT77" i="13"/>
  <c r="GS79" i="13"/>
  <c r="GS82" i="13"/>
  <c r="HF10" i="13"/>
  <c r="HF19" i="13"/>
  <c r="HD69" i="13"/>
  <c r="HD70" i="13"/>
  <c r="HF24" i="13"/>
  <c r="HF26" i="13"/>
  <c r="HE75" i="13"/>
  <c r="HF35" i="13"/>
  <c r="HD76" i="13"/>
  <c r="HF40" i="13"/>
  <c r="HE77" i="13"/>
  <c r="HF42" i="13"/>
  <c r="HF78" i="13" s="1"/>
  <c r="HD78" i="13"/>
  <c r="HF51" i="13"/>
  <c r="HD82" i="13"/>
  <c r="HF56" i="13"/>
  <c r="HF60" i="13"/>
  <c r="HF84" i="13" s="1"/>
  <c r="HE84" i="13"/>
  <c r="HF62" i="13"/>
  <c r="HD86" i="13"/>
  <c r="HD90" i="13" s="1"/>
  <c r="HF65" i="13"/>
  <c r="HF87" i="13" s="1"/>
  <c r="HI24" i="13"/>
  <c r="HI28" i="13"/>
  <c r="HI56" i="13"/>
  <c r="HI60" i="13"/>
  <c r="HI84" i="13" s="1"/>
  <c r="GM84" i="13"/>
  <c r="HG66" i="13"/>
  <c r="HG73" i="13"/>
  <c r="HI29" i="13"/>
  <c r="HG74" i="13"/>
  <c r="GK84" i="13"/>
  <c r="HD73" i="13"/>
  <c r="HG78" i="13"/>
  <c r="HE80" i="13"/>
  <c r="HC22" i="13"/>
  <c r="HE67" i="13"/>
  <c r="HF43" i="13"/>
  <c r="HD79" i="13"/>
  <c r="HF50" i="13"/>
  <c r="HF81" i="13" s="1"/>
  <c r="HG70" i="13"/>
  <c r="HD81" i="13"/>
  <c r="HC20" i="13"/>
  <c r="HC38" i="13"/>
  <c r="GL79" i="13"/>
  <c r="GT83" i="13"/>
  <c r="HF15" i="13"/>
  <c r="HF20" i="13"/>
  <c r="HE74" i="13"/>
  <c r="HF36" i="13"/>
  <c r="GM76" i="13"/>
  <c r="GM82" i="13"/>
  <c r="HI11" i="13"/>
  <c r="HI47" i="13"/>
  <c r="HC28" i="13"/>
  <c r="HC40" i="13"/>
  <c r="GK77" i="13"/>
  <c r="GQ70" i="13"/>
  <c r="GQ72" i="13"/>
  <c r="HC9" i="13"/>
  <c r="GK66" i="13"/>
  <c r="GK70" i="13"/>
  <c r="GK74" i="13"/>
  <c r="GR66" i="13"/>
  <c r="GR70" i="13"/>
  <c r="GP71" i="13"/>
  <c r="GR72" i="13"/>
  <c r="GR74" i="13"/>
  <c r="GP76" i="13"/>
  <c r="GQ77" i="13"/>
  <c r="GP79" i="13"/>
  <c r="GQ80" i="13"/>
  <c r="GP82" i="13"/>
  <c r="GR83" i="13"/>
  <c r="HB69" i="13"/>
  <c r="HB70" i="13"/>
  <c r="HB71" i="13"/>
  <c r="HB72" i="13"/>
  <c r="HC27" i="13"/>
  <c r="HB73" i="13"/>
  <c r="HA79" i="13"/>
  <c r="HC52" i="13"/>
  <c r="HB86" i="13"/>
  <c r="HB90" i="13" s="1"/>
  <c r="GL83" i="13"/>
  <c r="HF57" i="13"/>
  <c r="GS67" i="13"/>
  <c r="GT71" i="13"/>
  <c r="GT76" i="13"/>
  <c r="GU77" i="13"/>
  <c r="GT79" i="13"/>
  <c r="GU80" i="13"/>
  <c r="GS86" i="13"/>
  <c r="GS90" i="13" s="1"/>
  <c r="HD66" i="13"/>
  <c r="HF12" i="13"/>
  <c r="HF14" i="13"/>
  <c r="HD67" i="13"/>
  <c r="HE69" i="13"/>
  <c r="HE70" i="13"/>
  <c r="HF23" i="13"/>
  <c r="HD71" i="13"/>
  <c r="HF28" i="13"/>
  <c r="HF30" i="13"/>
  <c r="HE76" i="13"/>
  <c r="HF39" i="13"/>
  <c r="HF44" i="13"/>
  <c r="HF46" i="13"/>
  <c r="HE82" i="13"/>
  <c r="HF55" i="13"/>
  <c r="HD83" i="13"/>
  <c r="HF59" i="13"/>
  <c r="HE86" i="13"/>
  <c r="HF64" i="13"/>
  <c r="GM66" i="13"/>
  <c r="HH66" i="13"/>
  <c r="HI27" i="13"/>
  <c r="HH73" i="13"/>
  <c r="HI31" i="13"/>
  <c r="HH75" i="13"/>
  <c r="HI33" i="13"/>
  <c r="HG76" i="13"/>
  <c r="HI59" i="13"/>
  <c r="HI63" i="13"/>
  <c r="HI65" i="13"/>
  <c r="HI87" i="13" s="1"/>
  <c r="HG87" i="13"/>
  <c r="GM77" i="13"/>
  <c r="GW74" i="13"/>
  <c r="HI14" i="13"/>
  <c r="HG67" i="13"/>
  <c r="HI19" i="13"/>
  <c r="HI21" i="13"/>
  <c r="HG71" i="13"/>
  <c r="HI35" i="13"/>
  <c r="HI37" i="13"/>
  <c r="HG80" i="13"/>
  <c r="HI51" i="13"/>
  <c r="HH82" i="13"/>
  <c r="HI53" i="13"/>
  <c r="GV82" i="13"/>
  <c r="HF52" i="13"/>
  <c r="HF54" i="13"/>
  <c r="HF63" i="13"/>
  <c r="HH67" i="13"/>
  <c r="HI18" i="13"/>
  <c r="HI68" i="13" s="1"/>
  <c r="HG68" i="13"/>
  <c r="HH70" i="13"/>
  <c r="HI23" i="13"/>
  <c r="HH71" i="13"/>
  <c r="HI25" i="13"/>
  <c r="HG72" i="13"/>
  <c r="HI34" i="13"/>
  <c r="HI39" i="13"/>
  <c r="HI41" i="13"/>
  <c r="HG79" i="13"/>
  <c r="HI50" i="13"/>
  <c r="HI81" i="13" s="1"/>
  <c r="HI55" i="13"/>
  <c r="HI57" i="13"/>
  <c r="HG83" i="13"/>
  <c r="HH86" i="13"/>
  <c r="HH90" i="13" s="1"/>
  <c r="GW66" i="13"/>
  <c r="GV67" i="13"/>
  <c r="GX69" i="13"/>
  <c r="GX73" i="13"/>
  <c r="GW75" i="13"/>
  <c r="GV75" i="13"/>
  <c r="GW76" i="13"/>
  <c r="GW79" i="13"/>
  <c r="GV79" i="13"/>
  <c r="GW82" i="13"/>
  <c r="GV83" i="13"/>
  <c r="GW86" i="13"/>
  <c r="GW90" i="13" s="1"/>
  <c r="HC13" i="13"/>
  <c r="HC29" i="13"/>
  <c r="HC10" i="13"/>
  <c r="HC17" i="13"/>
  <c r="HC33" i="13"/>
  <c r="HC49" i="13"/>
  <c r="HC58" i="13"/>
  <c r="HC65" i="13"/>
  <c r="HC87" i="13" s="1"/>
  <c r="HC14" i="13"/>
  <c r="HC19" i="13"/>
  <c r="HC21" i="13"/>
  <c r="HC30" i="13"/>
  <c r="HC35" i="13"/>
  <c r="HC37" i="13"/>
  <c r="HC46" i="13"/>
  <c r="HC51" i="13"/>
  <c r="HC53" i="13"/>
  <c r="HC62" i="13"/>
  <c r="HC45" i="13"/>
  <c r="HC61" i="13"/>
  <c r="HC85" i="13" s="1"/>
  <c r="HC15" i="13"/>
  <c r="HC26" i="13"/>
  <c r="HC31" i="13"/>
  <c r="HC42" i="13"/>
  <c r="HC78" i="13" s="1"/>
  <c r="HC47" i="13"/>
  <c r="HC63" i="13"/>
  <c r="HC18" i="13"/>
  <c r="HC68" i="13" s="1"/>
  <c r="HC23" i="13"/>
  <c r="HC25" i="13"/>
  <c r="HC34" i="13"/>
  <c r="HC39" i="13"/>
  <c r="HC41" i="13"/>
  <c r="HC50" i="13"/>
  <c r="HC81" i="13" s="1"/>
  <c r="HC55" i="13"/>
  <c r="HC57" i="13"/>
  <c r="GH87" i="13"/>
  <c r="GG87" i="13"/>
  <c r="GF87" i="13"/>
  <c r="GE87" i="13"/>
  <c r="GH85" i="13"/>
  <c r="GG85" i="13"/>
  <c r="GF85" i="13"/>
  <c r="GE85" i="13"/>
  <c r="GH84" i="13"/>
  <c r="GG84" i="13"/>
  <c r="GF84" i="13"/>
  <c r="GE84" i="13"/>
  <c r="GH81" i="13"/>
  <c r="GG81" i="13"/>
  <c r="GF81" i="13"/>
  <c r="GE81" i="13"/>
  <c r="GH78" i="13"/>
  <c r="GG78" i="13"/>
  <c r="GF78" i="13"/>
  <c r="GE78" i="13"/>
  <c r="GH68" i="13"/>
  <c r="GG68" i="13"/>
  <c r="GF68" i="13"/>
  <c r="GE68" i="13"/>
  <c r="GD87" i="13"/>
  <c r="GC87" i="13"/>
  <c r="GB87" i="13"/>
  <c r="GA87" i="13"/>
  <c r="GD85" i="13"/>
  <c r="GC85" i="13"/>
  <c r="GB85" i="13"/>
  <c r="GA85" i="13"/>
  <c r="GD84" i="13"/>
  <c r="GC84" i="13"/>
  <c r="GB84" i="13"/>
  <c r="GA84" i="13"/>
  <c r="GD81" i="13"/>
  <c r="GC81" i="13"/>
  <c r="GB81" i="13"/>
  <c r="GA81" i="13"/>
  <c r="GD78" i="13"/>
  <c r="GC78" i="13"/>
  <c r="GB78" i="13"/>
  <c r="GA78" i="13"/>
  <c r="GD68" i="13"/>
  <c r="GC68" i="13"/>
  <c r="GB68" i="13"/>
  <c r="GA68" i="13"/>
  <c r="FZ87" i="13"/>
  <c r="FY87" i="13"/>
  <c r="FX87" i="13"/>
  <c r="FW87" i="13"/>
  <c r="FZ85" i="13"/>
  <c r="FY85" i="13"/>
  <c r="FX85" i="13"/>
  <c r="FW85" i="13"/>
  <c r="FZ84" i="13"/>
  <c r="FY84" i="13"/>
  <c r="FX84" i="13"/>
  <c r="FW84" i="13"/>
  <c r="FZ81" i="13"/>
  <c r="FY81" i="13"/>
  <c r="FX81" i="13"/>
  <c r="FW81" i="13"/>
  <c r="FZ78" i="13"/>
  <c r="FY78" i="13"/>
  <c r="FX78" i="13"/>
  <c r="FW78" i="13"/>
  <c r="FZ68" i="13"/>
  <c r="FY68" i="13"/>
  <c r="FX68" i="13"/>
  <c r="FW68" i="13"/>
  <c r="HY72" i="13" l="1"/>
  <c r="IK69" i="13"/>
  <c r="HY76" i="13"/>
  <c r="HF72" i="13"/>
  <c r="IK73" i="13"/>
  <c r="HY67" i="13"/>
  <c r="IB73" i="13"/>
  <c r="HY71" i="13"/>
  <c r="IK74" i="13"/>
  <c r="GA83" i="13"/>
  <c r="GC83" i="13"/>
  <c r="IK70" i="13"/>
  <c r="IN80" i="13"/>
  <c r="IB75" i="13"/>
  <c r="HY73" i="13"/>
  <c r="GD83" i="13"/>
  <c r="IB71" i="13"/>
  <c r="HY66" i="13"/>
  <c r="HY70" i="13"/>
  <c r="IB80" i="13"/>
  <c r="IB72" i="13"/>
  <c r="IB66" i="13"/>
  <c r="IN69" i="13"/>
  <c r="IB70" i="13"/>
  <c r="GG72" i="13"/>
  <c r="IN70" i="13"/>
  <c r="GG75" i="13"/>
  <c r="IB74" i="13"/>
  <c r="GG69" i="13"/>
  <c r="GG71" i="13"/>
  <c r="GG83" i="13"/>
  <c r="GG66" i="13"/>
  <c r="GG70" i="13"/>
  <c r="GG74" i="13"/>
  <c r="GG76" i="13"/>
  <c r="GG82" i="13"/>
  <c r="GC75" i="13"/>
  <c r="FY71" i="13"/>
  <c r="IK77" i="13"/>
  <c r="IK79" i="13"/>
  <c r="GH83" i="13"/>
  <c r="IK66" i="13"/>
  <c r="IN86" i="13"/>
  <c r="IN77" i="13"/>
  <c r="HY79" i="13"/>
  <c r="HY77" i="13"/>
  <c r="IB86" i="13"/>
  <c r="HY75" i="13"/>
  <c r="IB67" i="13"/>
  <c r="IB82" i="13"/>
  <c r="FZ79" i="13"/>
  <c r="HZ89" i="13"/>
  <c r="GD73" i="13"/>
  <c r="IB83" i="13"/>
  <c r="HZ88" i="13"/>
  <c r="GC82" i="13"/>
  <c r="IK83" i="13"/>
  <c r="IX91" i="13"/>
  <c r="GD69" i="13"/>
  <c r="GD71" i="13"/>
  <c r="IK86" i="13"/>
  <c r="IK72" i="13"/>
  <c r="IE71" i="13"/>
  <c r="HT79" i="13"/>
  <c r="IH66" i="13"/>
  <c r="HX89" i="13"/>
  <c r="JA91" i="13"/>
  <c r="JC91" i="13"/>
  <c r="B56" i="11" s="1"/>
  <c r="IH77" i="13"/>
  <c r="IH72" i="13"/>
  <c r="IN75" i="13"/>
  <c r="IE70" i="13"/>
  <c r="IY91" i="13"/>
  <c r="IK82" i="13"/>
  <c r="IK67" i="13"/>
  <c r="IB77" i="13"/>
  <c r="JB91" i="13"/>
  <c r="IE67" i="13"/>
  <c r="IW91" i="13"/>
  <c r="HN69" i="13"/>
  <c r="IE76" i="13"/>
  <c r="IH70" i="13"/>
  <c r="II89" i="13"/>
  <c r="IN67" i="13"/>
  <c r="IN82" i="13"/>
  <c r="HT73" i="13"/>
  <c r="HT80" i="13"/>
  <c r="IK71" i="13"/>
  <c r="JE91" i="13"/>
  <c r="C56" i="11" s="1"/>
  <c r="IK75" i="13"/>
  <c r="IL89" i="13"/>
  <c r="JH91" i="13"/>
  <c r="IL88" i="13"/>
  <c r="II88" i="13"/>
  <c r="HT75" i="13"/>
  <c r="JG91" i="13"/>
  <c r="D56" i="11" s="1"/>
  <c r="HT66" i="13"/>
  <c r="HT83" i="13"/>
  <c r="HS88" i="13"/>
  <c r="HW89" i="13"/>
  <c r="IS91" i="13"/>
  <c r="IE75" i="13"/>
  <c r="HQ69" i="13"/>
  <c r="IH86" i="13"/>
  <c r="IZ91" i="13"/>
  <c r="IH79" i="13"/>
  <c r="HQ70" i="13"/>
  <c r="IH82" i="13"/>
  <c r="IE69" i="13"/>
  <c r="IH69" i="13"/>
  <c r="IE83" i="13"/>
  <c r="IE77" i="13"/>
  <c r="IE73" i="13"/>
  <c r="IF89" i="13"/>
  <c r="HQ67" i="13"/>
  <c r="IH74" i="13"/>
  <c r="IE74" i="13"/>
  <c r="HQ76" i="13"/>
  <c r="IE72" i="13"/>
  <c r="IH71" i="13"/>
  <c r="IE82" i="13"/>
  <c r="IH83" i="13"/>
  <c r="IE86" i="13"/>
  <c r="IH73" i="13"/>
  <c r="IC88" i="13"/>
  <c r="IC90" i="13"/>
  <c r="HQ71" i="13"/>
  <c r="IC89" i="13"/>
  <c r="IF88" i="13"/>
  <c r="HQ79" i="13"/>
  <c r="HQ83" i="13"/>
  <c r="HN70" i="13"/>
  <c r="HX88" i="13"/>
  <c r="IQ91" i="13"/>
  <c r="HN83" i="13"/>
  <c r="IT91" i="13"/>
  <c r="HN73" i="13"/>
  <c r="HY90" i="13"/>
  <c r="IR91" i="13"/>
  <c r="HN74" i="13"/>
  <c r="HW88" i="13"/>
  <c r="IV91" i="13"/>
  <c r="HN67" i="13"/>
  <c r="IA89" i="13"/>
  <c r="IU91" i="13"/>
  <c r="HN77" i="13"/>
  <c r="HN80" i="13"/>
  <c r="HT71" i="13"/>
  <c r="HT86" i="13"/>
  <c r="IN66" i="13"/>
  <c r="HT77" i="13"/>
  <c r="HT72" i="13"/>
  <c r="HT74" i="13"/>
  <c r="HT70" i="13"/>
  <c r="IN76" i="13"/>
  <c r="HQ73" i="13"/>
  <c r="HQ77" i="13"/>
  <c r="IH76" i="13"/>
  <c r="IH67" i="13"/>
  <c r="IH80" i="13"/>
  <c r="HN82" i="13"/>
  <c r="HN71" i="13"/>
  <c r="HN75" i="13"/>
  <c r="GG77" i="13"/>
  <c r="GG86" i="13"/>
  <c r="GG90" i="13" s="1"/>
  <c r="IM90" i="13"/>
  <c r="IN90" i="13" s="1"/>
  <c r="IN84" i="13"/>
  <c r="IG89" i="13"/>
  <c r="HQ74" i="13"/>
  <c r="IJ90" i="13"/>
  <c r="IK90" i="13" s="1"/>
  <c r="HN76" i="13"/>
  <c r="HQ75" i="13"/>
  <c r="HS89" i="13"/>
  <c r="ID89" i="13"/>
  <c r="IE80" i="13"/>
  <c r="IM89" i="13"/>
  <c r="HN79" i="13"/>
  <c r="HM89" i="13"/>
  <c r="IA90" i="13"/>
  <c r="IB90" i="13" s="1"/>
  <c r="HM88" i="13"/>
  <c r="HN66" i="13"/>
  <c r="HM90" i="13"/>
  <c r="HN90" i="13" s="1"/>
  <c r="HN85" i="13"/>
  <c r="IE66" i="13"/>
  <c r="IA88" i="13"/>
  <c r="HQ86" i="13"/>
  <c r="IJ88" i="13"/>
  <c r="ID88" i="13"/>
  <c r="IE68" i="13"/>
  <c r="HN86" i="13"/>
  <c r="HT69" i="13"/>
  <c r="IG90" i="13"/>
  <c r="IH90" i="13" s="1"/>
  <c r="IH84" i="13"/>
  <c r="ID90" i="13"/>
  <c r="IE84" i="13"/>
  <c r="IJ89" i="13"/>
  <c r="IK80" i="13"/>
  <c r="IM88" i="13"/>
  <c r="IN68" i="13"/>
  <c r="IH75" i="13"/>
  <c r="IG88" i="13"/>
  <c r="IH68" i="13"/>
  <c r="IE79" i="13"/>
  <c r="HY74" i="13"/>
  <c r="HN72" i="13"/>
  <c r="HT82" i="13"/>
  <c r="HT67" i="13"/>
  <c r="HS90" i="13"/>
  <c r="HT90" i="13" s="1"/>
  <c r="HT76" i="13"/>
  <c r="HP89" i="13"/>
  <c r="HQ81" i="13"/>
  <c r="HQ82" i="13"/>
  <c r="HQ80" i="13"/>
  <c r="HQ72" i="13"/>
  <c r="HP88" i="13"/>
  <c r="HQ66" i="13"/>
  <c r="HP90" i="13"/>
  <c r="HQ90" i="13" s="1"/>
  <c r="GG79" i="13"/>
  <c r="GB75" i="13"/>
  <c r="GF69" i="13"/>
  <c r="GF70" i="13"/>
  <c r="GF71" i="13"/>
  <c r="GF72" i="13"/>
  <c r="GF73" i="13"/>
  <c r="GD75" i="13"/>
  <c r="GG73" i="13"/>
  <c r="GB73" i="13"/>
  <c r="GA69" i="13"/>
  <c r="GA73" i="13"/>
  <c r="FY67" i="13"/>
  <c r="FY70" i="13"/>
  <c r="FY73" i="13"/>
  <c r="FY79" i="13"/>
  <c r="GC66" i="13"/>
  <c r="GC69" i="13"/>
  <c r="GC72" i="13"/>
  <c r="GC76" i="13"/>
  <c r="GD76" i="13"/>
  <c r="HC83" i="13"/>
  <c r="GC71" i="13"/>
  <c r="GA66" i="13"/>
  <c r="GE79" i="13"/>
  <c r="GA71" i="13"/>
  <c r="GA75" i="13"/>
  <c r="FX73" i="13"/>
  <c r="FZ76" i="13"/>
  <c r="FW66" i="13"/>
  <c r="FW80" i="13"/>
  <c r="FX77" i="13"/>
  <c r="GH70" i="13"/>
  <c r="GB70" i="13"/>
  <c r="GH73" i="13"/>
  <c r="GD67" i="13"/>
  <c r="GA72" i="13"/>
  <c r="GE71" i="13"/>
  <c r="GE72" i="13"/>
  <c r="GE73" i="13"/>
  <c r="GE75" i="13"/>
  <c r="GE76" i="13"/>
  <c r="GE82" i="13"/>
  <c r="GB72" i="13"/>
  <c r="GC79" i="13"/>
  <c r="GA76" i="13"/>
  <c r="GE66" i="13"/>
  <c r="GE80" i="13"/>
  <c r="GD86" i="13"/>
  <c r="GD90" i="13" s="1"/>
  <c r="GH66" i="13"/>
  <c r="GH79" i="13"/>
  <c r="GD70" i="13"/>
  <c r="GH71" i="13"/>
  <c r="GD72" i="13"/>
  <c r="GH75" i="13"/>
  <c r="GH76" i="13"/>
  <c r="GH77" i="13"/>
  <c r="FW73" i="13"/>
  <c r="FW75" i="13"/>
  <c r="FW79" i="13"/>
  <c r="GB76" i="13"/>
  <c r="GD66" i="13"/>
  <c r="GH67" i="13"/>
  <c r="GA74" i="13"/>
  <c r="GE69" i="13"/>
  <c r="GE70" i="13"/>
  <c r="GE77" i="13"/>
  <c r="GE83" i="13"/>
  <c r="FX70" i="13"/>
  <c r="FY69" i="13"/>
  <c r="FY72" i="13"/>
  <c r="FY75" i="13"/>
  <c r="FY76" i="13"/>
  <c r="GC70" i="13"/>
  <c r="GC73" i="13"/>
  <c r="GC77" i="13"/>
  <c r="GA82" i="13"/>
  <c r="GE74" i="13"/>
  <c r="GA70" i="13"/>
  <c r="FX74" i="13"/>
  <c r="HO89" i="13"/>
  <c r="FW70" i="13"/>
  <c r="FW71" i="13"/>
  <c r="FW76" i="13"/>
  <c r="FZ83" i="13"/>
  <c r="FW69" i="13"/>
  <c r="GA86" i="13"/>
  <c r="GA90" i="13" s="1"/>
  <c r="HF70" i="13"/>
  <c r="FZ77" i="13"/>
  <c r="GA77" i="13"/>
  <c r="FZ80" i="13"/>
  <c r="FW82" i="13"/>
  <c r="FW83" i="13"/>
  <c r="FZ67" i="13"/>
  <c r="FW77" i="13"/>
  <c r="HI70" i="13"/>
  <c r="HR89" i="13"/>
  <c r="HO88" i="13"/>
  <c r="GC67" i="13"/>
  <c r="GA79" i="13"/>
  <c r="FX79" i="13"/>
  <c r="HF80" i="13"/>
  <c r="GC86" i="13"/>
  <c r="GC90" i="13" s="1"/>
  <c r="FZ66" i="13"/>
  <c r="FZ69" i="13"/>
  <c r="FZ71" i="13"/>
  <c r="FZ75" i="13"/>
  <c r="GD77" i="13"/>
  <c r="GD80" i="13"/>
  <c r="HI69" i="13"/>
  <c r="HH89" i="13"/>
  <c r="FZ70" i="13"/>
  <c r="FZ73" i="13"/>
  <c r="GH80" i="13"/>
  <c r="GF75" i="13"/>
  <c r="HC80" i="13"/>
  <c r="HL89" i="13"/>
  <c r="HI74" i="13"/>
  <c r="HI77" i="13"/>
  <c r="HI66" i="13"/>
  <c r="HL88" i="13"/>
  <c r="GB67" i="13"/>
  <c r="GF79" i="13"/>
  <c r="HR88" i="13"/>
  <c r="HC71" i="13"/>
  <c r="HI71" i="13"/>
  <c r="FW67" i="13"/>
  <c r="GB77" i="13"/>
  <c r="HF77" i="13"/>
  <c r="GK89" i="13"/>
  <c r="GX89" i="13"/>
  <c r="GA67" i="13"/>
  <c r="GE86" i="13"/>
  <c r="GE90" i="13" s="1"/>
  <c r="FX71" i="13"/>
  <c r="GB80" i="13"/>
  <c r="HI67" i="13"/>
  <c r="HI73" i="13"/>
  <c r="HF83" i="13"/>
  <c r="FZ72" i="13"/>
  <c r="FZ74" i="13"/>
  <c r="FZ86" i="13"/>
  <c r="FZ90" i="13" s="1"/>
  <c r="GD74" i="13"/>
  <c r="GH69" i="13"/>
  <c r="GH82" i="13"/>
  <c r="GH86" i="13"/>
  <c r="GH90" i="13" s="1"/>
  <c r="HI82" i="13"/>
  <c r="GS89" i="13"/>
  <c r="FW74" i="13"/>
  <c r="FW86" i="13"/>
  <c r="FW90" i="13" s="1"/>
  <c r="FX69" i="13"/>
  <c r="FX72" i="13"/>
  <c r="FX75" i="13"/>
  <c r="FX76" i="13"/>
  <c r="GB71" i="13"/>
  <c r="GB79" i="13"/>
  <c r="HI83" i="13"/>
  <c r="HI72" i="13"/>
  <c r="HG90" i="13"/>
  <c r="GK90" i="13"/>
  <c r="GD82" i="13"/>
  <c r="GH72" i="13"/>
  <c r="GH74" i="13"/>
  <c r="FW72" i="13"/>
  <c r="GW89" i="13"/>
  <c r="GX88" i="13"/>
  <c r="HF75" i="13"/>
  <c r="FZ82" i="13"/>
  <c r="GD79" i="13"/>
  <c r="HG89" i="13"/>
  <c r="HE88" i="13"/>
  <c r="HF74" i="13"/>
  <c r="HI86" i="13"/>
  <c r="HI90" i="13" s="1"/>
  <c r="HF67" i="13"/>
  <c r="GP88" i="13"/>
  <c r="GL88" i="13"/>
  <c r="HF73" i="13"/>
  <c r="GT89" i="13"/>
  <c r="GS88" i="13"/>
  <c r="HC73" i="13"/>
  <c r="HB88" i="13"/>
  <c r="GQ89" i="13"/>
  <c r="HC66" i="13"/>
  <c r="GM89" i="13"/>
  <c r="HF79" i="13"/>
  <c r="GQ88" i="13"/>
  <c r="HA89" i="13"/>
  <c r="GU88" i="13"/>
  <c r="GP89" i="13"/>
  <c r="GA80" i="13"/>
  <c r="GE67" i="13"/>
  <c r="HA88" i="13"/>
  <c r="HC82" i="13"/>
  <c r="HI79" i="13"/>
  <c r="GR89" i="13"/>
  <c r="HC75" i="13"/>
  <c r="GV88" i="13"/>
  <c r="GU89" i="13"/>
  <c r="GT88" i="13"/>
  <c r="GK88" i="13"/>
  <c r="GM90" i="13"/>
  <c r="GF86" i="13"/>
  <c r="GF90" i="13" s="1"/>
  <c r="FX86" i="13"/>
  <c r="FX90" i="13" s="1"/>
  <c r="GB86" i="13"/>
  <c r="GB90" i="13" s="1"/>
  <c r="GF77" i="13"/>
  <c r="FY77" i="13"/>
  <c r="FY80" i="13"/>
  <c r="FY86" i="13"/>
  <c r="FY90" i="13" s="1"/>
  <c r="GG67" i="13"/>
  <c r="HC70" i="13"/>
  <c r="HH88" i="13"/>
  <c r="HF71" i="13"/>
  <c r="HG88" i="13"/>
  <c r="HF76" i="13"/>
  <c r="HC86" i="13"/>
  <c r="HC90" i="13" s="1"/>
  <c r="HC69" i="13"/>
  <c r="HC74" i="13"/>
  <c r="HI75" i="13"/>
  <c r="GM88" i="13"/>
  <c r="HD89" i="13"/>
  <c r="HE89" i="13"/>
  <c r="HF86" i="13"/>
  <c r="HF90" i="13" s="1"/>
  <c r="FX67" i="13"/>
  <c r="GF67" i="13"/>
  <c r="GR88" i="13"/>
  <c r="HC77" i="13"/>
  <c r="HF66" i="13"/>
  <c r="HC79" i="13"/>
  <c r="GC80" i="13"/>
  <c r="GG80" i="13"/>
  <c r="HC72" i="13"/>
  <c r="HC76" i="13"/>
  <c r="HC67" i="13"/>
  <c r="GV89" i="13"/>
  <c r="GW88" i="13"/>
  <c r="HI76" i="13"/>
  <c r="HD88" i="13"/>
  <c r="GL89" i="13"/>
  <c r="HE90" i="13"/>
  <c r="HF82" i="13"/>
  <c r="HF69" i="13"/>
  <c r="HB89" i="13"/>
  <c r="FX66" i="13"/>
  <c r="FX80" i="13"/>
  <c r="FX82" i="13"/>
  <c r="FX83" i="13"/>
  <c r="GB66" i="13"/>
  <c r="GB69" i="13"/>
  <c r="GB74" i="13"/>
  <c r="GB82" i="13"/>
  <c r="GB83" i="13"/>
  <c r="GF66" i="13"/>
  <c r="GF74" i="13"/>
  <c r="GF76" i="13"/>
  <c r="GF80" i="13"/>
  <c r="GF82" i="13"/>
  <c r="GF83" i="13"/>
  <c r="FY66" i="13"/>
  <c r="FY74" i="13"/>
  <c r="FY82" i="13"/>
  <c r="FY83" i="13"/>
  <c r="GC74" i="13"/>
  <c r="FT87" i="13"/>
  <c r="FS87" i="13"/>
  <c r="FR87" i="13"/>
  <c r="FQ87" i="13"/>
  <c r="FP87" i="13"/>
  <c r="FO87" i="13"/>
  <c r="FN87" i="13"/>
  <c r="FM87" i="13"/>
  <c r="FT86" i="13"/>
  <c r="FR86" i="13"/>
  <c r="FT85" i="13"/>
  <c r="FS85" i="13"/>
  <c r="FR85" i="13"/>
  <c r="FQ85" i="13"/>
  <c r="FP85" i="13"/>
  <c r="FO85" i="13"/>
  <c r="FN85" i="13"/>
  <c r="FM85" i="13"/>
  <c r="FT84" i="13"/>
  <c r="FS84" i="13"/>
  <c r="FR84" i="13"/>
  <c r="FQ84" i="13"/>
  <c r="FP84" i="13"/>
  <c r="FO84" i="13"/>
  <c r="FN84" i="13"/>
  <c r="FM84" i="13"/>
  <c r="FS83" i="13"/>
  <c r="FR83" i="13"/>
  <c r="FQ83" i="13"/>
  <c r="FP83" i="13"/>
  <c r="FO83" i="13"/>
  <c r="FN83" i="13"/>
  <c r="FM83" i="13"/>
  <c r="FT82" i="13"/>
  <c r="FQ82" i="13"/>
  <c r="FP82" i="13"/>
  <c r="FO82" i="13"/>
  <c r="FN82" i="13"/>
  <c r="FM82" i="13"/>
  <c r="FT81" i="13"/>
  <c r="FS81" i="13"/>
  <c r="FR81" i="13"/>
  <c r="FQ81" i="13"/>
  <c r="FP81" i="13"/>
  <c r="FO81" i="13"/>
  <c r="FN81" i="13"/>
  <c r="FM81" i="13"/>
  <c r="FT80" i="13"/>
  <c r="FS80" i="13"/>
  <c r="FQ80" i="13"/>
  <c r="FT79" i="13"/>
  <c r="FO79" i="13"/>
  <c r="FN79" i="13"/>
  <c r="FM79" i="13"/>
  <c r="FT78" i="13"/>
  <c r="FS78" i="13"/>
  <c r="FR78" i="13"/>
  <c r="FQ78" i="13"/>
  <c r="FP78" i="13"/>
  <c r="FO78" i="13"/>
  <c r="FN78" i="13"/>
  <c r="FM78" i="13"/>
  <c r="FT77" i="13"/>
  <c r="FS77" i="13"/>
  <c r="FR77" i="13"/>
  <c r="FQ77" i="13"/>
  <c r="FR76" i="13"/>
  <c r="FP76" i="13"/>
  <c r="FM76" i="13"/>
  <c r="FT75" i="13"/>
  <c r="FQ75" i="13"/>
  <c r="FP75" i="13"/>
  <c r="FQ74" i="13"/>
  <c r="FS73" i="13"/>
  <c r="FR73" i="13"/>
  <c r="FQ73" i="13"/>
  <c r="FP73" i="13"/>
  <c r="FN73" i="13"/>
  <c r="FQ71" i="13"/>
  <c r="FP71" i="13"/>
  <c r="FT70" i="13"/>
  <c r="FR70" i="13"/>
  <c r="FQ70" i="13"/>
  <c r="FP70" i="13"/>
  <c r="FT69" i="13"/>
  <c r="FR69" i="13"/>
  <c r="FP69" i="13"/>
  <c r="FT68" i="13"/>
  <c r="FS68" i="13"/>
  <c r="FR68" i="13"/>
  <c r="FQ68" i="13"/>
  <c r="FP68" i="13"/>
  <c r="FO68" i="13"/>
  <c r="FN68" i="13"/>
  <c r="FM68" i="13"/>
  <c r="FM67" i="13"/>
  <c r="FS66" i="13"/>
  <c r="FQ66" i="13"/>
  <c r="FO66" i="13"/>
  <c r="FM66" i="13"/>
  <c r="FL87" i="13"/>
  <c r="FJ87" i="13"/>
  <c r="FI87" i="13"/>
  <c r="FH87" i="13"/>
  <c r="FG87" i="13"/>
  <c r="FF87" i="13"/>
  <c r="FE87" i="13"/>
  <c r="FL86" i="13"/>
  <c r="FJ86" i="13"/>
  <c r="FI86" i="13"/>
  <c r="FL85" i="13"/>
  <c r="FJ85" i="13"/>
  <c r="FI85" i="13"/>
  <c r="FH85" i="13"/>
  <c r="FG85" i="13"/>
  <c r="FF85" i="13"/>
  <c r="FE85" i="13"/>
  <c r="FL84" i="13"/>
  <c r="FJ84" i="13"/>
  <c r="FI84" i="13"/>
  <c r="FH84" i="13"/>
  <c r="FG84" i="13"/>
  <c r="FF84" i="13"/>
  <c r="FE84" i="13"/>
  <c r="FJ83" i="13"/>
  <c r="FI83" i="13"/>
  <c r="FH83" i="13"/>
  <c r="FG83" i="13"/>
  <c r="FF83" i="13"/>
  <c r="FE83" i="13"/>
  <c r="FF82" i="13"/>
  <c r="FE82" i="13"/>
  <c r="FL81" i="13"/>
  <c r="FJ81" i="13"/>
  <c r="FI81" i="13"/>
  <c r="FH81" i="13"/>
  <c r="FG81" i="13"/>
  <c r="FF81" i="13"/>
  <c r="FE81" i="13"/>
  <c r="FL80" i="13"/>
  <c r="FJ80" i="13"/>
  <c r="FI80" i="13"/>
  <c r="FE79" i="13"/>
  <c r="FL78" i="13"/>
  <c r="FJ78" i="13"/>
  <c r="FI78" i="13"/>
  <c r="FH78" i="13"/>
  <c r="FG78" i="13"/>
  <c r="FF78" i="13"/>
  <c r="FE78" i="13"/>
  <c r="FJ77" i="13"/>
  <c r="FI77" i="13"/>
  <c r="FG77" i="13"/>
  <c r="FF77" i="13"/>
  <c r="FE77" i="13"/>
  <c r="FJ76" i="13"/>
  <c r="FI76" i="13"/>
  <c r="FI75" i="13"/>
  <c r="FL74" i="13"/>
  <c r="FJ74" i="13"/>
  <c r="FI74" i="13"/>
  <c r="FE74" i="13"/>
  <c r="FJ73" i="13"/>
  <c r="FF73" i="13"/>
  <c r="FE73" i="13"/>
  <c r="FL72" i="13"/>
  <c r="FJ72" i="13"/>
  <c r="FI72" i="13"/>
  <c r="FF72" i="13"/>
  <c r="FE72" i="13"/>
  <c r="FL71" i="13"/>
  <c r="FJ71" i="13"/>
  <c r="FI71" i="13"/>
  <c r="FF71" i="13"/>
  <c r="FE71" i="13"/>
  <c r="FJ70" i="13"/>
  <c r="FI70" i="13"/>
  <c r="FF70" i="13"/>
  <c r="FE70" i="13"/>
  <c r="FL69" i="13"/>
  <c r="FJ69" i="13"/>
  <c r="FI69" i="13"/>
  <c r="FE69" i="13"/>
  <c r="FL68" i="13"/>
  <c r="FJ68" i="13"/>
  <c r="FI68" i="13"/>
  <c r="FH68" i="13"/>
  <c r="FG68" i="13"/>
  <c r="FF68" i="13"/>
  <c r="FE68" i="13"/>
  <c r="FI67" i="13"/>
  <c r="FL66" i="13"/>
  <c r="FH66" i="13"/>
  <c r="FE66" i="13"/>
  <c r="FD87" i="13"/>
  <c r="FC87" i="13"/>
  <c r="FB87" i="13"/>
  <c r="FA87" i="13"/>
  <c r="EZ87" i="13"/>
  <c r="EY87" i="13"/>
  <c r="EX87" i="13"/>
  <c r="EW87" i="13"/>
  <c r="FC86" i="13"/>
  <c r="FB86" i="13"/>
  <c r="FA86" i="13"/>
  <c r="FD85" i="13"/>
  <c r="FC85" i="13"/>
  <c r="FB85" i="13"/>
  <c r="FA85" i="13"/>
  <c r="EZ85" i="13"/>
  <c r="EY85" i="13"/>
  <c r="EX85" i="13"/>
  <c r="EW85" i="13"/>
  <c r="FD84" i="13"/>
  <c r="FC84" i="13"/>
  <c r="FB84" i="13"/>
  <c r="FA84" i="13"/>
  <c r="EZ84" i="13"/>
  <c r="EY84" i="13"/>
  <c r="EX84" i="13"/>
  <c r="EW84" i="13"/>
  <c r="FD83" i="13"/>
  <c r="FC83" i="13"/>
  <c r="FB83" i="13"/>
  <c r="FA83" i="13"/>
  <c r="EZ83" i="13"/>
  <c r="EY83" i="13"/>
  <c r="EX83" i="13"/>
  <c r="EW83" i="13"/>
  <c r="EZ82" i="13"/>
  <c r="EW82" i="13"/>
  <c r="FD81" i="13"/>
  <c r="FC81" i="13"/>
  <c r="FB81" i="13"/>
  <c r="FA81" i="13"/>
  <c r="EZ81" i="13"/>
  <c r="EY81" i="13"/>
  <c r="EX81" i="13"/>
  <c r="EW81" i="13"/>
  <c r="FD80" i="13"/>
  <c r="FC80" i="13"/>
  <c r="FB80" i="13"/>
  <c r="FA80" i="13"/>
  <c r="EZ79" i="13"/>
  <c r="FD78" i="13"/>
  <c r="FC78" i="13"/>
  <c r="FB78" i="13"/>
  <c r="FA78" i="13"/>
  <c r="EZ78" i="13"/>
  <c r="EY78" i="13"/>
  <c r="EX78" i="13"/>
  <c r="EW78" i="13"/>
  <c r="EW77" i="13"/>
  <c r="FA76" i="13"/>
  <c r="EX74" i="13"/>
  <c r="FB73" i="13"/>
  <c r="EX73" i="13"/>
  <c r="FB72" i="13"/>
  <c r="EX72" i="13"/>
  <c r="FC71" i="13"/>
  <c r="FB71" i="13"/>
  <c r="EX71" i="13"/>
  <c r="FD70" i="13"/>
  <c r="FC70" i="13"/>
  <c r="FB70" i="13"/>
  <c r="EX70" i="13"/>
  <c r="FB69" i="13"/>
  <c r="EX69" i="13"/>
  <c r="FD68" i="13"/>
  <c r="FC68" i="13"/>
  <c r="FB68" i="13"/>
  <c r="FA68" i="13"/>
  <c r="EZ68" i="13"/>
  <c r="EY68" i="13"/>
  <c r="EX68" i="13"/>
  <c r="EW68" i="13"/>
  <c r="EW66" i="13"/>
  <c r="ET87" i="13"/>
  <c r="ES87" i="13"/>
  <c r="ER87" i="13"/>
  <c r="EQ87" i="13"/>
  <c r="EP87" i="13"/>
  <c r="ET85" i="13"/>
  <c r="ES85" i="13"/>
  <c r="ER85" i="13"/>
  <c r="EQ85" i="13"/>
  <c r="EP85" i="13"/>
  <c r="ET84" i="13"/>
  <c r="ES84" i="13"/>
  <c r="ER84" i="13"/>
  <c r="EQ84" i="13"/>
  <c r="EP84" i="13"/>
  <c r="ET81" i="13"/>
  <c r="ES81" i="13"/>
  <c r="ER81" i="13"/>
  <c r="EQ81" i="13"/>
  <c r="EP81" i="13"/>
  <c r="ET78" i="13"/>
  <c r="ES78" i="13"/>
  <c r="ER78" i="13"/>
  <c r="EQ78" i="13"/>
  <c r="EP78" i="13"/>
  <c r="ET68" i="13"/>
  <c r="ES68" i="13"/>
  <c r="ER68" i="13"/>
  <c r="EQ68" i="13"/>
  <c r="EP68" i="13"/>
  <c r="EO87" i="13"/>
  <c r="EN87" i="13"/>
  <c r="EM87" i="13"/>
  <c r="EL87" i="13"/>
  <c r="EK87" i="13"/>
  <c r="EO85" i="13"/>
  <c r="EN85" i="13"/>
  <c r="EM85" i="13"/>
  <c r="EL85" i="13"/>
  <c r="EK85" i="13"/>
  <c r="EO84" i="13"/>
  <c r="EN84" i="13"/>
  <c r="EM84" i="13"/>
  <c r="EL84" i="13"/>
  <c r="EK84" i="13"/>
  <c r="EO81" i="13"/>
  <c r="EN81" i="13"/>
  <c r="EM81" i="13"/>
  <c r="EL81" i="13"/>
  <c r="EK81" i="13"/>
  <c r="EO78" i="13"/>
  <c r="EN78" i="13"/>
  <c r="EM78" i="13"/>
  <c r="EL78" i="13"/>
  <c r="EK78" i="13"/>
  <c r="EO68" i="13"/>
  <c r="EN68" i="13"/>
  <c r="EM68" i="13"/>
  <c r="EL68" i="13"/>
  <c r="EK68" i="13"/>
  <c r="EJ87" i="13"/>
  <c r="EI87" i="13"/>
  <c r="EH87" i="13"/>
  <c r="EG87" i="13"/>
  <c r="EF87" i="13"/>
  <c r="EJ85" i="13"/>
  <c r="EI85" i="13"/>
  <c r="EH85" i="13"/>
  <c r="EG85" i="13"/>
  <c r="EF85" i="13"/>
  <c r="EJ84" i="13"/>
  <c r="EI84" i="13"/>
  <c r="EH84" i="13"/>
  <c r="EG84" i="13"/>
  <c r="EF84" i="13"/>
  <c r="EJ81" i="13"/>
  <c r="EI81" i="13"/>
  <c r="EH81" i="13"/>
  <c r="EG81" i="13"/>
  <c r="EF81" i="13"/>
  <c r="EJ78" i="13"/>
  <c r="EI78" i="13"/>
  <c r="EH78" i="13"/>
  <c r="EG78" i="13"/>
  <c r="EF78" i="13"/>
  <c r="EJ68" i="13"/>
  <c r="EI68" i="13"/>
  <c r="EH68" i="13"/>
  <c r="EG68" i="13"/>
  <c r="EF68" i="13"/>
  <c r="DW87" i="13"/>
  <c r="DW85" i="13"/>
  <c r="DW84" i="13"/>
  <c r="DW81" i="13"/>
  <c r="DV87" i="13"/>
  <c r="DV85" i="13"/>
  <c r="DU87" i="13"/>
  <c r="DU85" i="13"/>
  <c r="DU84" i="13"/>
  <c r="DU81" i="13"/>
  <c r="DU78" i="13"/>
  <c r="DU68" i="13"/>
  <c r="LE64" i="13"/>
  <c r="LE63" i="13"/>
  <c r="LE62" i="13"/>
  <c r="LE59" i="13"/>
  <c r="LE58" i="13"/>
  <c r="LE57" i="13"/>
  <c r="LE56" i="13"/>
  <c r="LE55" i="13"/>
  <c r="LE54" i="13"/>
  <c r="LE53" i="13"/>
  <c r="LE52" i="13"/>
  <c r="LE51" i="13"/>
  <c r="LE49" i="13"/>
  <c r="LE48" i="13"/>
  <c r="LE47" i="13"/>
  <c r="LE46" i="13"/>
  <c r="LE45" i="13"/>
  <c r="LE44" i="13"/>
  <c r="LE43" i="13"/>
  <c r="LE41" i="13"/>
  <c r="LE40" i="13"/>
  <c r="LE39" i="13"/>
  <c r="LE38" i="13"/>
  <c r="LE37" i="13"/>
  <c r="LE36" i="13"/>
  <c r="LE35" i="13"/>
  <c r="LE34" i="13"/>
  <c r="LE33" i="13"/>
  <c r="LE32" i="13"/>
  <c r="LE31" i="13"/>
  <c r="LE30" i="13"/>
  <c r="LE29" i="13"/>
  <c r="LE28" i="13"/>
  <c r="LE27" i="13"/>
  <c r="LE26" i="13"/>
  <c r="LE25" i="13"/>
  <c r="LE24" i="13"/>
  <c r="LE23" i="13"/>
  <c r="LE22" i="13"/>
  <c r="LE21" i="13"/>
  <c r="LE20" i="13"/>
  <c r="LE19" i="13"/>
  <c r="LE17" i="13"/>
  <c r="LE16" i="13"/>
  <c r="LE15" i="13"/>
  <c r="LE14" i="13"/>
  <c r="LE13" i="13"/>
  <c r="LE12" i="13"/>
  <c r="LE11" i="13"/>
  <c r="LE10" i="13"/>
  <c r="LE9" i="13"/>
  <c r="LB64" i="13"/>
  <c r="LB63" i="13"/>
  <c r="LB62" i="13"/>
  <c r="LB59" i="13"/>
  <c r="LB58" i="13"/>
  <c r="LB57" i="13"/>
  <c r="LB56" i="13"/>
  <c r="LB55" i="13"/>
  <c r="LB54" i="13"/>
  <c r="LB53" i="13"/>
  <c r="LB52" i="13"/>
  <c r="LB51" i="13"/>
  <c r="LB49" i="13"/>
  <c r="LB48" i="13"/>
  <c r="LB47" i="13"/>
  <c r="LB46" i="13"/>
  <c r="LB45" i="13"/>
  <c r="LB44" i="13"/>
  <c r="LB43" i="13"/>
  <c r="LB41" i="13"/>
  <c r="LB40" i="13"/>
  <c r="LB39" i="13"/>
  <c r="LB38" i="13"/>
  <c r="LB37" i="13"/>
  <c r="LB36" i="13"/>
  <c r="LB35" i="13"/>
  <c r="LB34" i="13"/>
  <c r="LB33" i="13"/>
  <c r="LB32" i="13"/>
  <c r="LB31" i="13"/>
  <c r="LB30" i="13"/>
  <c r="LB29" i="13"/>
  <c r="LB28" i="13"/>
  <c r="LB27" i="13"/>
  <c r="LB26" i="13"/>
  <c r="LB25" i="13"/>
  <c r="LB24" i="13"/>
  <c r="LB23" i="13"/>
  <c r="LB22" i="13"/>
  <c r="LB21" i="13"/>
  <c r="LB20" i="13"/>
  <c r="LB19" i="13"/>
  <c r="LB17" i="13"/>
  <c r="LB16" i="13"/>
  <c r="LB15" i="13"/>
  <c r="LB14" i="13"/>
  <c r="LB13" i="13"/>
  <c r="LB12" i="13"/>
  <c r="LB11" i="13"/>
  <c r="LB10" i="13"/>
  <c r="LB9" i="13"/>
  <c r="KY64" i="13"/>
  <c r="KY63" i="13"/>
  <c r="KY62" i="13"/>
  <c r="KY59" i="13"/>
  <c r="KY58" i="13"/>
  <c r="KY57" i="13"/>
  <c r="KY56" i="13"/>
  <c r="KY55" i="13"/>
  <c r="KY54" i="13"/>
  <c r="KY53" i="13"/>
  <c r="KY52" i="13"/>
  <c r="KY51" i="13"/>
  <c r="KY49" i="13"/>
  <c r="KY48" i="13"/>
  <c r="KY47" i="13"/>
  <c r="KY46" i="13"/>
  <c r="KY45" i="13"/>
  <c r="KY44" i="13"/>
  <c r="KY43" i="13"/>
  <c r="KY41" i="13"/>
  <c r="KY40" i="13"/>
  <c r="KY39" i="13"/>
  <c r="KY38" i="13"/>
  <c r="KY37" i="13"/>
  <c r="KY36" i="13"/>
  <c r="KY35" i="13"/>
  <c r="KY34" i="13"/>
  <c r="KY33" i="13"/>
  <c r="KY32" i="13"/>
  <c r="KY31" i="13"/>
  <c r="KY30" i="13"/>
  <c r="KY29" i="13"/>
  <c r="KY28" i="13"/>
  <c r="KY27" i="13"/>
  <c r="KY26" i="13"/>
  <c r="KY25" i="13"/>
  <c r="KY24" i="13"/>
  <c r="KY23" i="13"/>
  <c r="KY22" i="13"/>
  <c r="KY21" i="13"/>
  <c r="KY20" i="13"/>
  <c r="KY19" i="13"/>
  <c r="KY17" i="13"/>
  <c r="KY16" i="13"/>
  <c r="KY15" i="13"/>
  <c r="KY14" i="13"/>
  <c r="KY13" i="13"/>
  <c r="KY12" i="13"/>
  <c r="KY11" i="13"/>
  <c r="KY10" i="13"/>
  <c r="FB90" i="13" l="1"/>
  <c r="FB75" i="13"/>
  <c r="FJ75" i="13"/>
  <c r="FS69" i="13"/>
  <c r="FS70" i="13"/>
  <c r="FS71" i="13"/>
  <c r="FS72" i="13"/>
  <c r="FS86" i="13"/>
  <c r="FS90" i="13" s="1"/>
  <c r="EW80" i="13"/>
  <c r="FB66" i="13"/>
  <c r="FD71" i="13"/>
  <c r="EZ77" i="13"/>
  <c r="FG69" i="13"/>
  <c r="FG73" i="13"/>
  <c r="FG74" i="13"/>
  <c r="EW79" i="13"/>
  <c r="FM69" i="13"/>
  <c r="FQ69" i="13"/>
  <c r="FT76" i="13"/>
  <c r="FL83" i="13"/>
  <c r="FL70" i="13"/>
  <c r="FP79" i="13"/>
  <c r="FF69" i="13"/>
  <c r="FP74" i="13"/>
  <c r="FR71" i="13"/>
  <c r="EY79" i="13"/>
  <c r="EW67" i="13"/>
  <c r="EW69" i="13"/>
  <c r="FA73" i="13"/>
  <c r="FA79" i="13"/>
  <c r="EW86" i="13"/>
  <c r="EW90" i="13" s="1"/>
  <c r="FE67" i="13"/>
  <c r="FE75" i="13"/>
  <c r="FE76" i="13"/>
  <c r="FI82" i="13"/>
  <c r="FQ67" i="13"/>
  <c r="FM70" i="13"/>
  <c r="FM71" i="13"/>
  <c r="FM72" i="13"/>
  <c r="FM73" i="13"/>
  <c r="FM74" i="13"/>
  <c r="FM75" i="13"/>
  <c r="FQ76" i="13"/>
  <c r="FQ79" i="13"/>
  <c r="FQ89" i="13" s="1"/>
  <c r="FM86" i="13"/>
  <c r="FM90" i="13" s="1"/>
  <c r="FG79" i="13"/>
  <c r="FO76" i="13"/>
  <c r="FC77" i="13"/>
  <c r="FF74" i="13"/>
  <c r="FL77" i="13"/>
  <c r="FT73" i="13"/>
  <c r="GG89" i="13"/>
  <c r="FT67" i="13"/>
  <c r="FP72" i="13"/>
  <c r="FN80" i="13"/>
  <c r="FN89" i="13" s="1"/>
  <c r="FR72" i="13"/>
  <c r="FN66" i="13"/>
  <c r="FR66" i="13"/>
  <c r="FN69" i="13"/>
  <c r="FA82" i="13"/>
  <c r="FI79" i="13"/>
  <c r="FE80" i="13"/>
  <c r="FE89" i="13" s="1"/>
  <c r="FE86" i="13"/>
  <c r="FE90" i="13" s="1"/>
  <c r="FQ72" i="13"/>
  <c r="FM77" i="13"/>
  <c r="FM80" i="13"/>
  <c r="FM89" i="13" s="1"/>
  <c r="FD77" i="13"/>
  <c r="FH77" i="13"/>
  <c r="FT71" i="13"/>
  <c r="FT72" i="13"/>
  <c r="FT74" i="13"/>
  <c r="FP77" i="13"/>
  <c r="FA69" i="13"/>
  <c r="FA70" i="13"/>
  <c r="FA71" i="13"/>
  <c r="FA72" i="13"/>
  <c r="FA74" i="13"/>
  <c r="EZ69" i="13"/>
  <c r="FD73" i="13"/>
  <c r="FD74" i="13"/>
  <c r="EZ80" i="13"/>
  <c r="EZ89" i="13" s="1"/>
  <c r="FH69" i="13"/>
  <c r="FH70" i="13"/>
  <c r="FH71" i="13"/>
  <c r="FH72" i="13"/>
  <c r="FH74" i="13"/>
  <c r="FH80" i="13"/>
  <c r="FP80" i="13"/>
  <c r="FI66" i="13"/>
  <c r="EW70" i="13"/>
  <c r="EW71" i="13"/>
  <c r="EW72" i="13"/>
  <c r="EW73" i="13"/>
  <c r="EW75" i="13"/>
  <c r="EW76" i="13"/>
  <c r="HZ91" i="13"/>
  <c r="FQ86" i="13"/>
  <c r="FQ90" i="13" s="1"/>
  <c r="IB89" i="13"/>
  <c r="EY70" i="13"/>
  <c r="FG66" i="13"/>
  <c r="KY70" i="13"/>
  <c r="KY72" i="13"/>
  <c r="KY74" i="13"/>
  <c r="LB77" i="13"/>
  <c r="LB80" i="13"/>
  <c r="EX79" i="13"/>
  <c r="KY66" i="13"/>
  <c r="KY83" i="13"/>
  <c r="KY86" i="13"/>
  <c r="LB70" i="13"/>
  <c r="LB72" i="13"/>
  <c r="LB74" i="13"/>
  <c r="LB83" i="13"/>
  <c r="LE77" i="13"/>
  <c r="LE80" i="13"/>
  <c r="KY69" i="13"/>
  <c r="KY71" i="13"/>
  <c r="KY73" i="13"/>
  <c r="LE70" i="13"/>
  <c r="LE72" i="13"/>
  <c r="LE74" i="13"/>
  <c r="KY67" i="13"/>
  <c r="KY50" i="13"/>
  <c r="KY81" i="13" s="1"/>
  <c r="DQ87" i="13"/>
  <c r="LB65" i="13"/>
  <c r="LB87" i="13" s="1"/>
  <c r="DR84" i="13"/>
  <c r="LE60" i="13"/>
  <c r="LE84" i="13" s="1"/>
  <c r="KY76" i="13"/>
  <c r="KY82" i="13"/>
  <c r="LB67" i="13"/>
  <c r="DQ81" i="13"/>
  <c r="LB50" i="13"/>
  <c r="LB81" i="13" s="1"/>
  <c r="DR85" i="13"/>
  <c r="LE61" i="13"/>
  <c r="LE85" i="13" s="1"/>
  <c r="KY61" i="13"/>
  <c r="KY85" i="13" s="1"/>
  <c r="KY18" i="13"/>
  <c r="KY68" i="13" s="1"/>
  <c r="KY42" i="13"/>
  <c r="KY78" i="13" s="1"/>
  <c r="LB66" i="13"/>
  <c r="DQ85" i="13"/>
  <c r="LB61" i="13"/>
  <c r="LB85" i="13" s="1"/>
  <c r="FD72" i="13"/>
  <c r="FD76" i="13"/>
  <c r="FH67" i="13"/>
  <c r="KY75" i="13"/>
  <c r="KY79" i="13"/>
  <c r="DQ68" i="13"/>
  <c r="LB18" i="13"/>
  <c r="LB68" i="13" s="1"/>
  <c r="DQ78" i="13"/>
  <c r="LB42" i="13"/>
  <c r="LB78" i="13" s="1"/>
  <c r="LB86" i="13"/>
  <c r="LE66" i="13"/>
  <c r="LE83" i="13"/>
  <c r="DR87" i="13"/>
  <c r="LE65" i="13"/>
  <c r="LE87" i="13" s="1"/>
  <c r="KY77" i="13"/>
  <c r="KY80" i="13"/>
  <c r="KY60" i="13"/>
  <c r="KY84" i="13" s="1"/>
  <c r="LB69" i="13"/>
  <c r="LB71" i="13"/>
  <c r="LB73" i="13"/>
  <c r="LB75" i="13"/>
  <c r="LB76" i="13"/>
  <c r="LB79" i="13"/>
  <c r="LB82" i="13"/>
  <c r="LE67" i="13"/>
  <c r="DR68" i="13"/>
  <c r="LE18" i="13"/>
  <c r="LE68" i="13" s="1"/>
  <c r="DR78" i="13"/>
  <c r="LE42" i="13"/>
  <c r="LE78" i="13" s="1"/>
  <c r="DR81" i="13"/>
  <c r="LE50" i="13"/>
  <c r="LE86" i="13"/>
  <c r="KY65" i="13"/>
  <c r="DQ84" i="13"/>
  <c r="LB60" i="13"/>
  <c r="LB84" i="13" s="1"/>
  <c r="LE69" i="13"/>
  <c r="LE71" i="13"/>
  <c r="LE73" i="13"/>
  <c r="LE75" i="13"/>
  <c r="LE76" i="13"/>
  <c r="LE79" i="13"/>
  <c r="LE82" i="13"/>
  <c r="HX91" i="13"/>
  <c r="HY89" i="13"/>
  <c r="IF91" i="13"/>
  <c r="IH89" i="13"/>
  <c r="FO67" i="13"/>
  <c r="FC72" i="13"/>
  <c r="FC74" i="13"/>
  <c r="FC75" i="13"/>
  <c r="EY77" i="13"/>
  <c r="FG70" i="13"/>
  <c r="FO69" i="13"/>
  <c r="FO71" i="13"/>
  <c r="FS79" i="13"/>
  <c r="IK89" i="13"/>
  <c r="II91" i="13"/>
  <c r="FD75" i="13"/>
  <c r="HW91" i="13"/>
  <c r="FA66" i="13"/>
  <c r="GG88" i="13"/>
  <c r="IL91" i="13"/>
  <c r="IN89" i="13"/>
  <c r="HT88" i="13"/>
  <c r="IC91" i="13"/>
  <c r="IE89" i="13"/>
  <c r="IE90" i="13"/>
  <c r="HY88" i="13"/>
  <c r="HT89" i="13"/>
  <c r="HN89" i="13"/>
  <c r="IK88" i="13"/>
  <c r="IJ91" i="13"/>
  <c r="HM91" i="13"/>
  <c r="HN88" i="13"/>
  <c r="IM91" i="13"/>
  <c r="IN88" i="13"/>
  <c r="IH88" i="13"/>
  <c r="IG91" i="13"/>
  <c r="IA91" i="13"/>
  <c r="IB88" i="13"/>
  <c r="IE88" i="13"/>
  <c r="ID91" i="13"/>
  <c r="HS91" i="13"/>
  <c r="HQ88" i="13"/>
  <c r="HP91" i="13"/>
  <c r="HQ89" i="13"/>
  <c r="FB77" i="13"/>
  <c r="FA75" i="13"/>
  <c r="FD82" i="13"/>
  <c r="EZ86" i="13"/>
  <c r="EZ90" i="13" s="1"/>
  <c r="FL67" i="13"/>
  <c r="FL79" i="13"/>
  <c r="FL82" i="13"/>
  <c r="FH86" i="13"/>
  <c r="FH90" i="13" s="1"/>
  <c r="FP67" i="13"/>
  <c r="FI73" i="13"/>
  <c r="FL76" i="13"/>
  <c r="FT83" i="13"/>
  <c r="FT89" i="13" s="1"/>
  <c r="EZ67" i="13"/>
  <c r="FH75" i="13"/>
  <c r="FH79" i="13"/>
  <c r="EX82" i="13"/>
  <c r="FB76" i="13"/>
  <c r="GQ91" i="13"/>
  <c r="FJ67" i="13"/>
  <c r="EW74" i="13"/>
  <c r="FD66" i="13"/>
  <c r="FC76" i="13"/>
  <c r="EY66" i="13"/>
  <c r="FO77" i="13"/>
  <c r="FT66" i="13"/>
  <c r="FA77" i="13"/>
  <c r="FC66" i="13"/>
  <c r="EX66" i="13"/>
  <c r="EY82" i="13"/>
  <c r="FH82" i="13"/>
  <c r="GC89" i="13"/>
  <c r="FG76" i="13"/>
  <c r="FS74" i="13"/>
  <c r="FO75" i="13"/>
  <c r="EX75" i="13"/>
  <c r="EX76" i="13"/>
  <c r="FB79" i="13"/>
  <c r="FB82" i="13"/>
  <c r="FF66" i="13"/>
  <c r="FF67" i="13"/>
  <c r="FF75" i="13"/>
  <c r="FF76" i="13"/>
  <c r="FF79" i="13"/>
  <c r="FJ79" i="13"/>
  <c r="FJ82" i="13"/>
  <c r="FF86" i="13"/>
  <c r="FF90" i="13" s="1"/>
  <c r="FN67" i="13"/>
  <c r="FN75" i="13"/>
  <c r="FN76" i="13"/>
  <c r="FR79" i="13"/>
  <c r="FR82" i="13"/>
  <c r="FN86" i="13"/>
  <c r="FN90" i="13" s="1"/>
  <c r="GE89" i="13"/>
  <c r="FB74" i="13"/>
  <c r="FB67" i="13"/>
  <c r="EX77" i="13"/>
  <c r="EX80" i="13"/>
  <c r="EX86" i="13"/>
  <c r="EX90" i="13" s="1"/>
  <c r="FJ66" i="13"/>
  <c r="FA67" i="13"/>
  <c r="FD86" i="13"/>
  <c r="FD90" i="13" s="1"/>
  <c r="EX67" i="13"/>
  <c r="GE88" i="13"/>
  <c r="HO91" i="13"/>
  <c r="C47" i="11" s="1"/>
  <c r="EY67" i="13"/>
  <c r="FC73" i="13"/>
  <c r="FG82" i="13"/>
  <c r="GA88" i="13"/>
  <c r="FZ89" i="13"/>
  <c r="FG71" i="13"/>
  <c r="FP66" i="13"/>
  <c r="GA89" i="13"/>
  <c r="FW89" i="13"/>
  <c r="EZ76" i="13"/>
  <c r="HB91" i="13"/>
  <c r="GW91" i="13"/>
  <c r="C25" i="11" s="1"/>
  <c r="GD88" i="13"/>
  <c r="GH89" i="13"/>
  <c r="HR91" i="13"/>
  <c r="D47" i="11" s="1"/>
  <c r="GC88" i="13"/>
  <c r="HH91" i="13"/>
  <c r="C34" i="11" s="1"/>
  <c r="GF89" i="13"/>
  <c r="GX91" i="13"/>
  <c r="D25" i="11" s="1"/>
  <c r="GD89" i="13"/>
  <c r="FZ88" i="13"/>
  <c r="FG75" i="13"/>
  <c r="FW88" i="13"/>
  <c r="HI89" i="13"/>
  <c r="GT91" i="13"/>
  <c r="HL91" i="13"/>
  <c r="B47" i="11" s="1"/>
  <c r="HD91" i="13"/>
  <c r="GV91" i="13"/>
  <c r="B25" i="11" s="1"/>
  <c r="FH76" i="13"/>
  <c r="FY89" i="13"/>
  <c r="EY69" i="13"/>
  <c r="FH73" i="13"/>
  <c r="FL73" i="13"/>
  <c r="FL75" i="13"/>
  <c r="HG91" i="13"/>
  <c r="B34" i="11" s="1"/>
  <c r="GH88" i="13"/>
  <c r="FX88" i="13"/>
  <c r="GM91" i="13"/>
  <c r="D8" i="11" s="1"/>
  <c r="GK91" i="13"/>
  <c r="B8" i="11" s="1"/>
  <c r="FC69" i="13"/>
  <c r="HF89" i="13"/>
  <c r="FC67" i="13"/>
  <c r="FX89" i="13"/>
  <c r="HI88" i="13"/>
  <c r="HC89" i="13"/>
  <c r="GS91" i="13"/>
  <c r="GP91" i="13"/>
  <c r="HF88" i="13"/>
  <c r="EY80" i="13"/>
  <c r="FG67" i="13"/>
  <c r="FG80" i="13"/>
  <c r="FG86" i="13"/>
  <c r="FG90" i="13" s="1"/>
  <c r="FS67" i="13"/>
  <c r="FS75" i="13"/>
  <c r="HA91" i="13"/>
  <c r="GU91" i="13"/>
  <c r="FY88" i="13"/>
  <c r="GB88" i="13"/>
  <c r="GR91" i="13"/>
  <c r="FP86" i="13"/>
  <c r="FP90" i="13" s="1"/>
  <c r="HC88" i="13"/>
  <c r="GL91" i="13"/>
  <c r="C8" i="11" s="1"/>
  <c r="HE91" i="13"/>
  <c r="GB89" i="13"/>
  <c r="GF88" i="13"/>
  <c r="EQ77" i="13"/>
  <c r="EQ80" i="13"/>
  <c r="FR67" i="13"/>
  <c r="FN70" i="13"/>
  <c r="FN71" i="13"/>
  <c r="FN72" i="13"/>
  <c r="FN74" i="13"/>
  <c r="FR74" i="13"/>
  <c r="FR75" i="13"/>
  <c r="FN77" i="13"/>
  <c r="FR80" i="13"/>
  <c r="ER69" i="13"/>
  <c r="EP70" i="13"/>
  <c r="ET70" i="13"/>
  <c r="ER71" i="13"/>
  <c r="EP72" i="13"/>
  <c r="ET72" i="13"/>
  <c r="ER73" i="13"/>
  <c r="EP74" i="13"/>
  <c r="ET74" i="13"/>
  <c r="FR90" i="13"/>
  <c r="FF80" i="13"/>
  <c r="FG72" i="13"/>
  <c r="FK90" i="13"/>
  <c r="FJ90" i="13"/>
  <c r="EY71" i="13"/>
  <c r="FD69" i="13"/>
  <c r="EY72" i="13"/>
  <c r="EY73" i="13"/>
  <c r="EY74" i="13"/>
  <c r="EY75" i="13"/>
  <c r="EY76" i="13"/>
  <c r="FC79" i="13"/>
  <c r="FC82" i="13"/>
  <c r="EY86" i="13"/>
  <c r="EY90" i="13" s="1"/>
  <c r="FO70" i="13"/>
  <c r="FO72" i="13"/>
  <c r="FO73" i="13"/>
  <c r="FO74" i="13"/>
  <c r="FS76" i="13"/>
  <c r="FO80" i="13"/>
  <c r="FO89" i="13" s="1"/>
  <c r="FS82" i="13"/>
  <c r="FO86" i="13"/>
  <c r="FO90" i="13" s="1"/>
  <c r="EZ66" i="13"/>
  <c r="FD67" i="13"/>
  <c r="EZ70" i="13"/>
  <c r="EZ71" i="13"/>
  <c r="EZ72" i="13"/>
  <c r="EZ73" i="13"/>
  <c r="EZ74" i="13"/>
  <c r="EZ75" i="13"/>
  <c r="FD79" i="13"/>
  <c r="EF69" i="13"/>
  <c r="EJ69" i="13"/>
  <c r="EH70" i="13"/>
  <c r="EF71" i="13"/>
  <c r="EJ71" i="13"/>
  <c r="EH72" i="13"/>
  <c r="EF73" i="13"/>
  <c r="FL90" i="13"/>
  <c r="EJ73" i="13"/>
  <c r="EH74" i="13"/>
  <c r="EI77" i="13"/>
  <c r="EI80" i="13"/>
  <c r="FI90" i="13"/>
  <c r="FA90" i="13"/>
  <c r="FT90" i="13"/>
  <c r="EN69" i="13"/>
  <c r="EL70" i="13"/>
  <c r="EN71" i="13"/>
  <c r="EL72" i="13"/>
  <c r="EN73" i="13"/>
  <c r="EL74" i="13"/>
  <c r="EM77" i="13"/>
  <c r="EM80" i="13"/>
  <c r="FC90" i="13"/>
  <c r="EP83" i="13"/>
  <c r="ET83" i="13"/>
  <c r="ES86" i="13"/>
  <c r="ES90" i="13" s="1"/>
  <c r="ES71" i="13"/>
  <c r="ER80" i="13"/>
  <c r="EK77" i="13"/>
  <c r="EP73" i="13"/>
  <c r="EP66" i="13"/>
  <c r="ET66" i="13"/>
  <c r="ES66" i="13"/>
  <c r="ER66" i="13"/>
  <c r="EM69" i="13"/>
  <c r="EM73" i="13"/>
  <c r="EM79" i="13"/>
  <c r="ES75" i="13"/>
  <c r="DV70" i="13"/>
  <c r="DV72" i="13"/>
  <c r="DV74" i="13"/>
  <c r="DW77" i="13"/>
  <c r="DW80" i="13"/>
  <c r="EG72" i="13"/>
  <c r="EK69" i="13"/>
  <c r="EO69" i="13"/>
  <c r="EK71" i="13"/>
  <c r="EO71" i="13"/>
  <c r="EO73" i="13"/>
  <c r="EN77" i="13"/>
  <c r="EN80" i="13"/>
  <c r="EM83" i="13"/>
  <c r="ES67" i="13"/>
  <c r="EQ69" i="13"/>
  <c r="EQ71" i="13"/>
  <c r="ER72" i="13"/>
  <c r="EQ73" i="13"/>
  <c r="EQ75" i="13"/>
  <c r="EQ76" i="13"/>
  <c r="ET77" i="13"/>
  <c r="ES77" i="13"/>
  <c r="EQ79" i="13"/>
  <c r="EP80" i="13"/>
  <c r="ET80" i="13"/>
  <c r="ES80" i="13"/>
  <c r="EQ82" i="13"/>
  <c r="ES83" i="13"/>
  <c r="EM71" i="13"/>
  <c r="EK72" i="13"/>
  <c r="EM75" i="13"/>
  <c r="EL80" i="13"/>
  <c r="ES69" i="13"/>
  <c r="ES73" i="13"/>
  <c r="ES79" i="13"/>
  <c r="EP86" i="13"/>
  <c r="EP90" i="13" s="1"/>
  <c r="EA10" i="13"/>
  <c r="DV68" i="13"/>
  <c r="EA18" i="13"/>
  <c r="EA42" i="13"/>
  <c r="DV81" i="13"/>
  <c r="EA50" i="13"/>
  <c r="EA58" i="13"/>
  <c r="EK75" i="13"/>
  <c r="EO75" i="13"/>
  <c r="EO76" i="13"/>
  <c r="EK79" i="13"/>
  <c r="EO79" i="13"/>
  <c r="EK82" i="13"/>
  <c r="EO82" i="13"/>
  <c r="EP69" i="13"/>
  <c r="ER70" i="13"/>
  <c r="ER74" i="13"/>
  <c r="EA26" i="13"/>
  <c r="EA34" i="13"/>
  <c r="EM67" i="13"/>
  <c r="ER67" i="13"/>
  <c r="ES70" i="13"/>
  <c r="ES74" i="13"/>
  <c r="ER76" i="13"/>
  <c r="ER79" i="13"/>
  <c r="ER82" i="13"/>
  <c r="EP82" i="13"/>
  <c r="ER83" i="13"/>
  <c r="ER86" i="13"/>
  <c r="ER90" i="13" s="1"/>
  <c r="EF66" i="13"/>
  <c r="EJ66" i="13"/>
  <c r="EI67" i="13"/>
  <c r="EH69" i="13"/>
  <c r="EF70" i="13"/>
  <c r="EJ70" i="13"/>
  <c r="EH71" i="13"/>
  <c r="EF72" i="13"/>
  <c r="EJ72" i="13"/>
  <c r="EH73" i="13"/>
  <c r="EF74" i="13"/>
  <c r="EJ74" i="13"/>
  <c r="EH75" i="13"/>
  <c r="EH76" i="13"/>
  <c r="EG77" i="13"/>
  <c r="EH79" i="13"/>
  <c r="EG80" i="13"/>
  <c r="EH82" i="13"/>
  <c r="EF83" i="13"/>
  <c r="EJ83" i="13"/>
  <c r="EI86" i="13"/>
  <c r="EI90" i="13" s="1"/>
  <c r="EN66" i="13"/>
  <c r="EM66" i="13"/>
  <c r="EL66" i="13"/>
  <c r="EL67" i="13"/>
  <c r="EL69" i="13"/>
  <c r="EN70" i="13"/>
  <c r="EM70" i="13"/>
  <c r="EL71" i="13"/>
  <c r="EN72" i="13"/>
  <c r="EM72" i="13"/>
  <c r="EL73" i="13"/>
  <c r="EK73" i="13"/>
  <c r="EN74" i="13"/>
  <c r="EM74" i="13"/>
  <c r="EL75" i="13"/>
  <c r="EL76" i="13"/>
  <c r="EK76" i="13"/>
  <c r="EO77" i="13"/>
  <c r="EL79" i="13"/>
  <c r="EK80" i="13"/>
  <c r="EO80" i="13"/>
  <c r="EL82" i="13"/>
  <c r="EN83" i="13"/>
  <c r="EL83" i="13"/>
  <c r="EM86" i="13"/>
  <c r="EM90" i="13" s="1"/>
  <c r="EL86" i="13"/>
  <c r="EL90" i="13" s="1"/>
  <c r="EQ70" i="13"/>
  <c r="EQ72" i="13"/>
  <c r="EQ74" i="13"/>
  <c r="ES76" i="13"/>
  <c r="ER77" i="13"/>
  <c r="ES82" i="13"/>
  <c r="EQ83" i="13"/>
  <c r="ET86" i="13"/>
  <c r="ET90" i="13" s="1"/>
  <c r="ES72" i="13"/>
  <c r="ER75" i="13"/>
  <c r="EP77" i="13"/>
  <c r="EI69" i="13"/>
  <c r="EG70" i="13"/>
  <c r="EI71" i="13"/>
  <c r="EI73" i="13"/>
  <c r="EG74" i="13"/>
  <c r="EH77" i="13"/>
  <c r="EH80" i="13"/>
  <c r="EF86" i="13"/>
  <c r="EF90" i="13" s="1"/>
  <c r="EJ86" i="13"/>
  <c r="EJ90" i="13" s="1"/>
  <c r="EK70" i="13"/>
  <c r="EO70" i="13"/>
  <c r="EO72" i="13"/>
  <c r="EK74" i="13"/>
  <c r="EO74" i="13"/>
  <c r="EM76" i="13"/>
  <c r="EL77" i="13"/>
  <c r="EM82" i="13"/>
  <c r="EK83" i="13"/>
  <c r="EO83" i="13"/>
  <c r="EN86" i="13"/>
  <c r="EN90" i="13" s="1"/>
  <c r="ET69" i="13"/>
  <c r="EP71" i="13"/>
  <c r="ET71" i="13"/>
  <c r="ET73" i="13"/>
  <c r="EA14" i="13"/>
  <c r="EA22" i="13"/>
  <c r="EA46" i="13"/>
  <c r="EA15" i="13"/>
  <c r="EA19" i="13"/>
  <c r="EA31" i="13"/>
  <c r="EA35" i="13"/>
  <c r="EA43" i="13"/>
  <c r="EA51" i="13"/>
  <c r="EA63" i="13"/>
  <c r="DV78" i="13"/>
  <c r="EJ67" i="13"/>
  <c r="EI79" i="13"/>
  <c r="EI82" i="13"/>
  <c r="EO66" i="13"/>
  <c r="EQ66" i="13"/>
  <c r="EP67" i="13"/>
  <c r="ET67" i="13"/>
  <c r="EA30" i="13"/>
  <c r="EA38" i="13"/>
  <c r="EA54" i="13"/>
  <c r="EA11" i="13"/>
  <c r="EA23" i="13"/>
  <c r="EA27" i="13"/>
  <c r="EA39" i="13"/>
  <c r="EA47" i="13"/>
  <c r="EA55" i="13"/>
  <c r="EA59" i="13"/>
  <c r="EA78" i="13"/>
  <c r="EF67" i="13"/>
  <c r="EI75" i="13"/>
  <c r="EI76" i="13"/>
  <c r="EK66" i="13"/>
  <c r="EN67" i="13"/>
  <c r="DV77" i="13"/>
  <c r="EK67" i="13"/>
  <c r="EO67" i="13"/>
  <c r="EN75" i="13"/>
  <c r="EN76" i="13"/>
  <c r="EN79" i="13"/>
  <c r="EN82" i="13"/>
  <c r="EK86" i="13"/>
  <c r="EK90" i="13" s="1"/>
  <c r="EO86" i="13"/>
  <c r="EO90" i="13" s="1"/>
  <c r="EQ67" i="13"/>
  <c r="EP75" i="13"/>
  <c r="ET75" i="13"/>
  <c r="EP76" i="13"/>
  <c r="ET76" i="13"/>
  <c r="EP79" i="13"/>
  <c r="ET79" i="13"/>
  <c r="ET82" i="13"/>
  <c r="EQ86" i="13"/>
  <c r="EQ90" i="13" s="1"/>
  <c r="EI66" i="13"/>
  <c r="EG66" i="13"/>
  <c r="EH67" i="13"/>
  <c r="EG67" i="13"/>
  <c r="EG69" i="13"/>
  <c r="EI70" i="13"/>
  <c r="EG71" i="13"/>
  <c r="EI72" i="13"/>
  <c r="EG73" i="13"/>
  <c r="EI74" i="13"/>
  <c r="EG75" i="13"/>
  <c r="EG76" i="13"/>
  <c r="EF76" i="13"/>
  <c r="EF77" i="13"/>
  <c r="EJ77" i="13"/>
  <c r="EG79" i="13"/>
  <c r="EF80" i="13"/>
  <c r="EJ80" i="13"/>
  <c r="EG82" i="13"/>
  <c r="EI83" i="13"/>
  <c r="EG83" i="13"/>
  <c r="EH86" i="13"/>
  <c r="EH90" i="13" s="1"/>
  <c r="EG86" i="13"/>
  <c r="EG90" i="13" s="1"/>
  <c r="EH66" i="13"/>
  <c r="EF75" i="13"/>
  <c r="EJ75" i="13"/>
  <c r="EJ76" i="13"/>
  <c r="EF79" i="13"/>
  <c r="EJ79" i="13"/>
  <c r="EF82" i="13"/>
  <c r="EJ82" i="13"/>
  <c r="EH83" i="13"/>
  <c r="DZ15" i="13"/>
  <c r="DZ31" i="13"/>
  <c r="DZ63" i="13"/>
  <c r="DZ51" i="13"/>
  <c r="DZ19" i="13"/>
  <c r="DZ35" i="13"/>
  <c r="DZ47" i="13"/>
  <c r="DU70" i="13"/>
  <c r="DU74" i="13"/>
  <c r="EA12" i="13"/>
  <c r="EA20" i="13"/>
  <c r="EA28" i="13"/>
  <c r="EA36" i="13"/>
  <c r="EA48" i="13"/>
  <c r="EA52" i="13"/>
  <c r="EA84" i="13"/>
  <c r="EA13" i="13"/>
  <c r="EA17" i="13"/>
  <c r="EA33" i="13"/>
  <c r="EA41" i="13"/>
  <c r="EA45" i="13"/>
  <c r="DV83" i="13"/>
  <c r="EA16" i="13"/>
  <c r="EA24" i="13"/>
  <c r="EA32" i="13"/>
  <c r="EA44" i="13"/>
  <c r="EA56" i="13"/>
  <c r="EA64" i="13"/>
  <c r="DV86" i="13"/>
  <c r="EA62" i="13"/>
  <c r="DZ11" i="13"/>
  <c r="DZ27" i="13"/>
  <c r="DZ43" i="13"/>
  <c r="DZ59" i="13"/>
  <c r="DU83" i="13"/>
  <c r="DZ23" i="13"/>
  <c r="DZ39" i="13"/>
  <c r="DZ55" i="13"/>
  <c r="DZ17" i="13"/>
  <c r="DZ25" i="13"/>
  <c r="DZ33" i="13"/>
  <c r="DZ41" i="13"/>
  <c r="DZ49" i="13"/>
  <c r="EB15" i="13"/>
  <c r="EB19" i="13"/>
  <c r="EB31" i="13"/>
  <c r="EB35" i="13"/>
  <c r="EB43" i="13"/>
  <c r="EB51" i="13"/>
  <c r="EB63" i="13"/>
  <c r="DZ10" i="13"/>
  <c r="DZ34" i="13"/>
  <c r="DZ54" i="13"/>
  <c r="DV76" i="13"/>
  <c r="DV80" i="13"/>
  <c r="EB16" i="13"/>
  <c r="EB24" i="13"/>
  <c r="EB32" i="13"/>
  <c r="EB44" i="13"/>
  <c r="EB52" i="13"/>
  <c r="EB64" i="13"/>
  <c r="DV84" i="13"/>
  <c r="DZ68" i="13"/>
  <c r="EA87" i="13"/>
  <c r="DV67" i="13"/>
  <c r="EB13" i="13"/>
  <c r="EB17" i="13"/>
  <c r="EB33" i="13"/>
  <c r="EB37" i="13"/>
  <c r="EB41" i="13"/>
  <c r="EB45" i="13"/>
  <c r="EB49" i="13"/>
  <c r="EB53" i="13"/>
  <c r="DZ87" i="13"/>
  <c r="EA40" i="13"/>
  <c r="EA60" i="13"/>
  <c r="EA68" i="13"/>
  <c r="DZ13" i="13"/>
  <c r="DZ37" i="13"/>
  <c r="DZ45" i="13"/>
  <c r="DZ53" i="13"/>
  <c r="EB11" i="13"/>
  <c r="EB23" i="13"/>
  <c r="EB27" i="13"/>
  <c r="EB39" i="13"/>
  <c r="EB47" i="13"/>
  <c r="EB55" i="13"/>
  <c r="EB59" i="13"/>
  <c r="DZ22" i="13"/>
  <c r="DZ30" i="13"/>
  <c r="DZ46" i="13"/>
  <c r="DZ58" i="13"/>
  <c r="DV66" i="13"/>
  <c r="DV82" i="13"/>
  <c r="EB12" i="13"/>
  <c r="EB20" i="13"/>
  <c r="EB28" i="13"/>
  <c r="EB56" i="13"/>
  <c r="DZ12" i="13"/>
  <c r="DZ16" i="13"/>
  <c r="DZ20" i="13"/>
  <c r="DZ24" i="13"/>
  <c r="DZ28" i="13"/>
  <c r="DZ32" i="13"/>
  <c r="DZ36" i="13"/>
  <c r="DZ40" i="13"/>
  <c r="DZ44" i="13"/>
  <c r="DZ48" i="13"/>
  <c r="DZ52" i="13"/>
  <c r="DZ56" i="13"/>
  <c r="DZ64" i="13"/>
  <c r="DV69" i="13"/>
  <c r="DV71" i="13"/>
  <c r="DV73" i="13"/>
  <c r="DV75" i="13"/>
  <c r="DV79" i="13"/>
  <c r="EB10" i="13"/>
  <c r="DW67" i="13"/>
  <c r="EB68" i="13"/>
  <c r="EB22" i="13"/>
  <c r="EB26" i="13"/>
  <c r="EB30" i="13"/>
  <c r="EB34" i="13"/>
  <c r="EB38" i="13"/>
  <c r="EB78" i="13"/>
  <c r="EB46" i="13"/>
  <c r="EB54" i="13"/>
  <c r="EB58" i="13"/>
  <c r="EB62" i="13"/>
  <c r="EA9" i="13"/>
  <c r="EA21" i="13"/>
  <c r="EA25" i="13"/>
  <c r="EA29" i="13"/>
  <c r="EA37" i="13"/>
  <c r="EA49" i="13"/>
  <c r="EA53" i="13"/>
  <c r="EA57" i="13"/>
  <c r="EA61" i="13"/>
  <c r="EA65" i="13"/>
  <c r="EA81" i="13"/>
  <c r="EA85" i="13"/>
  <c r="DW76" i="13"/>
  <c r="DW66" i="13"/>
  <c r="DW70" i="13"/>
  <c r="DW72" i="13"/>
  <c r="DW74" i="13"/>
  <c r="DW83" i="13"/>
  <c r="DW78" i="13"/>
  <c r="EB9" i="13"/>
  <c r="EB21" i="13"/>
  <c r="EB25" i="13"/>
  <c r="EB29" i="13"/>
  <c r="EB57" i="13"/>
  <c r="EB61" i="13"/>
  <c r="EB65" i="13"/>
  <c r="EB81" i="13"/>
  <c r="EB85" i="13"/>
  <c r="EB87" i="13"/>
  <c r="DW69" i="13"/>
  <c r="DW71" i="13"/>
  <c r="DW73" i="13"/>
  <c r="DW75" i="13"/>
  <c r="DW79" i="13"/>
  <c r="DW68" i="13"/>
  <c r="EB14" i="13"/>
  <c r="EB18" i="13"/>
  <c r="EB36" i="13"/>
  <c r="EB40" i="13"/>
  <c r="EB42" i="13"/>
  <c r="EB48" i="13"/>
  <c r="EB50" i="13"/>
  <c r="EB60" i="13"/>
  <c r="EB84" i="13"/>
  <c r="DW82" i="13"/>
  <c r="DW86" i="13"/>
  <c r="DU77" i="13"/>
  <c r="DU66" i="13"/>
  <c r="DU80" i="13"/>
  <c r="DZ60" i="13"/>
  <c r="DZ84" i="13"/>
  <c r="DU67" i="13"/>
  <c r="DU72" i="13"/>
  <c r="DU76" i="13"/>
  <c r="DU86" i="13"/>
  <c r="DZ9" i="13"/>
  <c r="DZ21" i="13"/>
  <c r="DZ29" i="13"/>
  <c r="DZ57" i="13"/>
  <c r="DZ61" i="13"/>
  <c r="DZ65" i="13"/>
  <c r="DZ81" i="13"/>
  <c r="DZ85" i="13"/>
  <c r="DU69" i="13"/>
  <c r="DU71" i="13"/>
  <c r="DU73" i="13"/>
  <c r="DU75" i="13"/>
  <c r="DU79" i="13"/>
  <c r="DU82" i="13"/>
  <c r="DZ14" i="13"/>
  <c r="DZ18" i="13"/>
  <c r="DZ26" i="13"/>
  <c r="DZ38" i="13"/>
  <c r="DZ42" i="13"/>
  <c r="DZ50" i="13"/>
  <c r="DZ62" i="13"/>
  <c r="DZ78" i="13"/>
  <c r="DQ70" i="13"/>
  <c r="DQ72" i="13"/>
  <c r="DQ74" i="13"/>
  <c r="DR77" i="13"/>
  <c r="DR80" i="13"/>
  <c r="DQ67" i="13"/>
  <c r="DQ69" i="13"/>
  <c r="DQ71" i="13"/>
  <c r="DQ73" i="13"/>
  <c r="DQ75" i="13"/>
  <c r="DQ83" i="13"/>
  <c r="DR67" i="13"/>
  <c r="DR83" i="13"/>
  <c r="DR86" i="13"/>
  <c r="DQ77" i="13"/>
  <c r="DQ80" i="13"/>
  <c r="DR69" i="13"/>
  <c r="DR71" i="13"/>
  <c r="DR73" i="13"/>
  <c r="DQ76" i="13"/>
  <c r="DQ82" i="13"/>
  <c r="DR76" i="13"/>
  <c r="DR79" i="13"/>
  <c r="DR82" i="13"/>
  <c r="DQ86" i="13"/>
  <c r="DR66" i="13"/>
  <c r="DR70" i="13"/>
  <c r="DR72" i="13"/>
  <c r="DR74" i="13"/>
  <c r="DQ79" i="13"/>
  <c r="DR75" i="13"/>
  <c r="DQ66" i="13"/>
  <c r="CQ87" i="13"/>
  <c r="CP87" i="13"/>
  <c r="CO87" i="13"/>
  <c r="CQ85" i="13"/>
  <c r="CP85" i="13"/>
  <c r="CO85" i="13"/>
  <c r="CQ84" i="13"/>
  <c r="CP84" i="13"/>
  <c r="CO84" i="13"/>
  <c r="CQ81" i="13"/>
  <c r="CP81" i="13"/>
  <c r="CO81" i="13"/>
  <c r="CQ78" i="13"/>
  <c r="CP78" i="13"/>
  <c r="CO78" i="13"/>
  <c r="CQ68" i="13"/>
  <c r="CP68" i="13"/>
  <c r="CO68" i="13"/>
  <c r="CN87" i="13"/>
  <c r="CM87" i="13"/>
  <c r="CL87" i="13"/>
  <c r="CN85" i="13"/>
  <c r="CM85" i="13"/>
  <c r="CL85" i="13"/>
  <c r="CN84" i="13"/>
  <c r="CM84" i="13"/>
  <c r="CL84" i="13"/>
  <c r="CN81" i="13"/>
  <c r="CM81" i="13"/>
  <c r="CL81" i="13"/>
  <c r="CN78" i="13"/>
  <c r="CM78" i="13"/>
  <c r="CL78" i="13"/>
  <c r="CN68" i="13"/>
  <c r="CM68" i="13"/>
  <c r="CL68" i="13"/>
  <c r="CK87" i="13"/>
  <c r="CJ87" i="13"/>
  <c r="CI87" i="13"/>
  <c r="CK85" i="13"/>
  <c r="CJ85" i="13"/>
  <c r="CI85" i="13"/>
  <c r="CK84" i="13"/>
  <c r="CJ84" i="13"/>
  <c r="CI84" i="13"/>
  <c r="CK81" i="13"/>
  <c r="CJ81" i="13"/>
  <c r="CI81" i="13"/>
  <c r="CK78" i="13"/>
  <c r="CJ78" i="13"/>
  <c r="CI78" i="13"/>
  <c r="CK68" i="13"/>
  <c r="CJ68" i="13"/>
  <c r="CI68" i="13"/>
  <c r="CA68" i="13"/>
  <c r="CB68" i="13"/>
  <c r="CC68" i="13"/>
  <c r="CD68" i="13"/>
  <c r="CE68" i="13"/>
  <c r="CF68" i="13"/>
  <c r="CA78" i="13"/>
  <c r="CB78" i="13"/>
  <c r="CC78" i="13"/>
  <c r="CD78" i="13"/>
  <c r="CE78" i="13"/>
  <c r="CF78" i="13"/>
  <c r="CA81" i="13"/>
  <c r="CB81" i="13"/>
  <c r="CC81" i="13"/>
  <c r="CD81" i="13"/>
  <c r="CE81" i="13"/>
  <c r="CF81" i="13"/>
  <c r="CA84" i="13"/>
  <c r="CB84" i="13"/>
  <c r="CC84" i="13"/>
  <c r="CD84" i="13"/>
  <c r="CE84" i="13"/>
  <c r="CF84" i="13"/>
  <c r="CA85" i="13"/>
  <c r="CB85" i="13"/>
  <c r="CC85" i="13"/>
  <c r="CD85" i="13"/>
  <c r="CE85" i="13"/>
  <c r="CF85" i="13"/>
  <c r="CA87" i="13"/>
  <c r="CB87" i="13"/>
  <c r="CC87" i="13"/>
  <c r="CD87" i="13"/>
  <c r="CE87" i="13"/>
  <c r="CF87" i="13"/>
  <c r="BU68" i="13"/>
  <c r="BV68" i="13"/>
  <c r="BW68" i="13"/>
  <c r="BX68" i="13"/>
  <c r="BY68" i="13"/>
  <c r="BZ68" i="13"/>
  <c r="BU78" i="13"/>
  <c r="BV78" i="13"/>
  <c r="BW78" i="13"/>
  <c r="BX78" i="13"/>
  <c r="BY78" i="13"/>
  <c r="BZ78" i="13"/>
  <c r="BU81" i="13"/>
  <c r="BV81" i="13"/>
  <c r="BW81" i="13"/>
  <c r="BX81" i="13"/>
  <c r="BY81" i="13"/>
  <c r="BZ81" i="13"/>
  <c r="BU84" i="13"/>
  <c r="BV84" i="13"/>
  <c r="BW84" i="13"/>
  <c r="BX84" i="13"/>
  <c r="BY84" i="13"/>
  <c r="BZ84" i="13"/>
  <c r="BU85" i="13"/>
  <c r="BV85" i="13"/>
  <c r="BW85" i="13"/>
  <c r="BX85" i="13"/>
  <c r="BY85" i="13"/>
  <c r="BZ85" i="13"/>
  <c r="BU87" i="13"/>
  <c r="BV87" i="13"/>
  <c r="BW87" i="13"/>
  <c r="BX87" i="13"/>
  <c r="BY87" i="13"/>
  <c r="BZ87" i="13"/>
  <c r="BP84" i="13"/>
  <c r="BQ84" i="13"/>
  <c r="BR84" i="13"/>
  <c r="BS84" i="13"/>
  <c r="BT84" i="13"/>
  <c r="BP85" i="13"/>
  <c r="BQ85" i="13"/>
  <c r="BR85" i="13"/>
  <c r="BS85" i="13"/>
  <c r="BT85" i="13"/>
  <c r="BP87" i="13"/>
  <c r="BQ87" i="13"/>
  <c r="BR87" i="13"/>
  <c r="BS87" i="13"/>
  <c r="BT87" i="13"/>
  <c r="BO84" i="13"/>
  <c r="BO85" i="13"/>
  <c r="BO87" i="13"/>
  <c r="BQ68" i="13"/>
  <c r="BR68" i="13"/>
  <c r="BS68" i="13"/>
  <c r="BT68" i="13"/>
  <c r="BQ78" i="13"/>
  <c r="BR78" i="13"/>
  <c r="BS78" i="13"/>
  <c r="BT78" i="13"/>
  <c r="BQ81" i="13"/>
  <c r="BR81" i="13"/>
  <c r="BS81" i="13"/>
  <c r="BT81" i="13"/>
  <c r="BP68" i="13"/>
  <c r="BP78" i="13"/>
  <c r="BP81" i="13"/>
  <c r="BO68" i="13"/>
  <c r="BO78" i="13"/>
  <c r="BO81" i="13"/>
  <c r="EW89" i="13" l="1"/>
  <c r="KY87" i="13"/>
  <c r="KY90" i="13" s="1"/>
  <c r="LE81" i="13"/>
  <c r="LE89" i="13" s="1"/>
  <c r="I56" i="11"/>
  <c r="FP89" i="13"/>
  <c r="FI89" i="13"/>
  <c r="FE88" i="13"/>
  <c r="FE91" i="13" s="1"/>
  <c r="FQ88" i="13"/>
  <c r="FQ91" i="13" s="1"/>
  <c r="FM88" i="13"/>
  <c r="FG89" i="13"/>
  <c r="FA89" i="13"/>
  <c r="GG91" i="13"/>
  <c r="FI88" i="13"/>
  <c r="FT88" i="13"/>
  <c r="FT91" i="13" s="1"/>
  <c r="IB91" i="13"/>
  <c r="GD91" i="13"/>
  <c r="EW88" i="13"/>
  <c r="EW91" i="13" s="1"/>
  <c r="FL89" i="13"/>
  <c r="DQ90" i="13"/>
  <c r="LB89" i="13"/>
  <c r="LE90" i="13"/>
  <c r="DR90" i="13"/>
  <c r="KY88" i="13"/>
  <c r="LE88" i="13"/>
  <c r="DP90" i="13"/>
  <c r="LB88" i="13"/>
  <c r="LB90" i="13"/>
  <c r="KY89" i="13"/>
  <c r="IK91" i="13"/>
  <c r="HY91" i="13"/>
  <c r="IH91" i="13"/>
  <c r="IN91" i="13"/>
  <c r="IE91" i="13"/>
  <c r="HN91" i="13"/>
  <c r="HT91" i="13"/>
  <c r="HQ91" i="13"/>
  <c r="FD89" i="13"/>
  <c r="FP88" i="13"/>
  <c r="FJ88" i="13"/>
  <c r="FH89" i="13"/>
  <c r="EX89" i="13"/>
  <c r="FA88" i="13"/>
  <c r="GA91" i="13"/>
  <c r="EY89" i="13"/>
  <c r="FB88" i="13"/>
  <c r="GC91" i="13"/>
  <c r="FB89" i="13"/>
  <c r="FF89" i="13"/>
  <c r="FR89" i="13"/>
  <c r="FK89" i="13"/>
  <c r="EX88" i="13"/>
  <c r="FJ89" i="13"/>
  <c r="FF88" i="13"/>
  <c r="GE91" i="13"/>
  <c r="FZ91" i="13"/>
  <c r="FH88" i="13"/>
  <c r="FK88" i="13"/>
  <c r="FW91" i="13"/>
  <c r="GH91" i="13"/>
  <c r="EA72" i="13"/>
  <c r="GF91" i="13"/>
  <c r="FD88" i="13"/>
  <c r="FY91" i="13"/>
  <c r="FC88" i="13"/>
  <c r="HI91" i="13"/>
  <c r="D34" i="11" s="1"/>
  <c r="FX91" i="13"/>
  <c r="FL88" i="13"/>
  <c r="FG88" i="13"/>
  <c r="HF91" i="13"/>
  <c r="HC91" i="13"/>
  <c r="FS88" i="13"/>
  <c r="EA74" i="13"/>
  <c r="GB91" i="13"/>
  <c r="FR88" i="13"/>
  <c r="FN88" i="13"/>
  <c r="EB77" i="13"/>
  <c r="FO88" i="13"/>
  <c r="EY88" i="13"/>
  <c r="FS89" i="13"/>
  <c r="EZ88" i="13"/>
  <c r="EZ91" i="13" s="1"/>
  <c r="FC89" i="13"/>
  <c r="EA67" i="13"/>
  <c r="EB80" i="13"/>
  <c r="EA70" i="13"/>
  <c r="EM89" i="13"/>
  <c r="EK89" i="13"/>
  <c r="EQ89" i="13"/>
  <c r="EJ89" i="13"/>
  <c r="EP89" i="13"/>
  <c r="ER88" i="13"/>
  <c r="ES89" i="13"/>
  <c r="EF88" i="13"/>
  <c r="DW89" i="13"/>
  <c r="EH89" i="13"/>
  <c r="EH88" i="13"/>
  <c r="EP88" i="13"/>
  <c r="ES88" i="13"/>
  <c r="EL89" i="13"/>
  <c r="EL88" i="13"/>
  <c r="EJ88" i="13"/>
  <c r="EG88" i="13"/>
  <c r="ET89" i="13"/>
  <c r="ET88" i="13"/>
  <c r="EN88" i="13"/>
  <c r="EQ88" i="13"/>
  <c r="EI89" i="13"/>
  <c r="EM88" i="13"/>
  <c r="ER89" i="13"/>
  <c r="EA77" i="13"/>
  <c r="EI88" i="13"/>
  <c r="EI91" i="13" s="1"/>
  <c r="EK88" i="13"/>
  <c r="EO89" i="13"/>
  <c r="EB67" i="13"/>
  <c r="EF89" i="13"/>
  <c r="EA83" i="13"/>
  <c r="DV89" i="13"/>
  <c r="EG89" i="13"/>
  <c r="EG91" i="13" s="1"/>
  <c r="EN89" i="13"/>
  <c r="DZ70" i="13"/>
  <c r="EO88" i="13"/>
  <c r="EO91" i="13" s="1"/>
  <c r="DZ83" i="13"/>
  <c r="DZ74" i="13"/>
  <c r="DW88" i="13"/>
  <c r="EA73" i="13"/>
  <c r="DV90" i="13"/>
  <c r="DZ67" i="13"/>
  <c r="EA82" i="13"/>
  <c r="EA76" i="13"/>
  <c r="EA71" i="13"/>
  <c r="DV88" i="13"/>
  <c r="EA66" i="13"/>
  <c r="EA79" i="13"/>
  <c r="EA69" i="13"/>
  <c r="DZ82" i="13"/>
  <c r="DZ72" i="13"/>
  <c r="DZ80" i="13"/>
  <c r="EA75" i="13"/>
  <c r="EA80" i="13"/>
  <c r="EA86" i="13"/>
  <c r="EB73" i="13"/>
  <c r="EB72" i="13"/>
  <c r="EB76" i="13"/>
  <c r="EB71" i="13"/>
  <c r="EB70" i="13"/>
  <c r="EB86" i="13"/>
  <c r="EB79" i="13"/>
  <c r="EB69" i="13"/>
  <c r="EB83" i="13"/>
  <c r="EB66" i="13"/>
  <c r="EB82" i="13"/>
  <c r="EB75" i="13"/>
  <c r="EB74" i="13"/>
  <c r="DW90" i="13"/>
  <c r="DZ71" i="13"/>
  <c r="DZ79" i="13"/>
  <c r="DZ69" i="13"/>
  <c r="DZ66" i="13"/>
  <c r="DU89" i="13"/>
  <c r="DZ75" i="13"/>
  <c r="DZ86" i="13"/>
  <c r="DZ77" i="13"/>
  <c r="DU90" i="13"/>
  <c r="DU88" i="13"/>
  <c r="DZ73" i="13"/>
  <c r="DZ76" i="13"/>
  <c r="CJ70" i="13"/>
  <c r="CJ72" i="13"/>
  <c r="CI77" i="13"/>
  <c r="CI80" i="13"/>
  <c r="CJ86" i="13"/>
  <c r="CJ90" i="13" s="1"/>
  <c r="CJ74" i="13"/>
  <c r="CL69" i="13"/>
  <c r="CL71" i="13"/>
  <c r="CN80" i="13"/>
  <c r="DQ88" i="13"/>
  <c r="DP89" i="13"/>
  <c r="DP88" i="13"/>
  <c r="DR89" i="13"/>
  <c r="CI74" i="13"/>
  <c r="CO72" i="13"/>
  <c r="CJ77" i="13"/>
  <c r="CN77" i="13"/>
  <c r="DQ89" i="13"/>
  <c r="CP69" i="13"/>
  <c r="CP71" i="13"/>
  <c r="CP73" i="13"/>
  <c r="CQ77" i="13"/>
  <c r="CQ80" i="13"/>
  <c r="CP82" i="13"/>
  <c r="BT66" i="13"/>
  <c r="CB80" i="13"/>
  <c r="CD74" i="13"/>
  <c r="DR88" i="13"/>
  <c r="BR83" i="13"/>
  <c r="BR79" i="13"/>
  <c r="BR75" i="13"/>
  <c r="CJ69" i="13"/>
  <c r="CL77" i="13"/>
  <c r="CP86" i="13"/>
  <c r="CP90" i="13" s="1"/>
  <c r="CD86" i="13"/>
  <c r="CD90" i="13" s="1"/>
  <c r="CF76" i="13"/>
  <c r="CF72" i="13"/>
  <c r="CB72" i="13"/>
  <c r="CF71" i="13"/>
  <c r="CB71" i="13"/>
  <c r="CF70" i="13"/>
  <c r="CB70" i="13"/>
  <c r="CF69" i="13"/>
  <c r="CB69" i="13"/>
  <c r="CJ73" i="13"/>
  <c r="CP66" i="13"/>
  <c r="CB66" i="13"/>
  <c r="CF66" i="13"/>
  <c r="CI70" i="13"/>
  <c r="CI72" i="13"/>
  <c r="CN70" i="13"/>
  <c r="CN72" i="13"/>
  <c r="CL73" i="13"/>
  <c r="CN74" i="13"/>
  <c r="CM77" i="13"/>
  <c r="CM80" i="13"/>
  <c r="CP74" i="13"/>
  <c r="BR71" i="13"/>
  <c r="BO73" i="13"/>
  <c r="BO69" i="13"/>
  <c r="BQ76" i="13"/>
  <c r="CB76" i="13"/>
  <c r="CI66" i="13"/>
  <c r="CM67" i="13"/>
  <c r="CN67" i="13"/>
  <c r="CN69" i="13"/>
  <c r="CN71" i="13"/>
  <c r="CL74" i="13"/>
  <c r="CN75" i="13"/>
  <c r="CN76" i="13"/>
  <c r="CL79" i="13"/>
  <c r="CO66" i="13"/>
  <c r="CP67" i="13"/>
  <c r="CQ69" i="13"/>
  <c r="CQ73" i="13"/>
  <c r="CQ76" i="13"/>
  <c r="CQ79" i="13"/>
  <c r="CQ82" i="13"/>
  <c r="CO83" i="13"/>
  <c r="BT69" i="13"/>
  <c r="BV66" i="13"/>
  <c r="BZ66" i="13"/>
  <c r="CD66" i="13"/>
  <c r="CC83" i="13"/>
  <c r="CC80" i="13"/>
  <c r="CE77" i="13"/>
  <c r="CC77" i="13"/>
  <c r="CE74" i="13"/>
  <c r="CA74" i="13"/>
  <c r="CE73" i="13"/>
  <c r="CA73" i="13"/>
  <c r="CE72" i="13"/>
  <c r="CA72" i="13"/>
  <c r="CC71" i="13"/>
  <c r="CE71" i="13"/>
  <c r="CA71" i="13"/>
  <c r="CE70" i="13"/>
  <c r="CA70" i="13"/>
  <c r="CE69" i="13"/>
  <c r="CA69" i="13"/>
  <c r="CK69" i="13"/>
  <c r="CK71" i="13"/>
  <c r="CK73" i="13"/>
  <c r="CI83" i="13"/>
  <c r="CM66" i="13"/>
  <c r="CM70" i="13"/>
  <c r="CM72" i="13"/>
  <c r="CQ67" i="13"/>
  <c r="CP70" i="13"/>
  <c r="CP72" i="13"/>
  <c r="CO76" i="13"/>
  <c r="CP76" i="13"/>
  <c r="CO77" i="13"/>
  <c r="CO80" i="13"/>
  <c r="CP80" i="13"/>
  <c r="CP83" i="13"/>
  <c r="CQ86" i="13"/>
  <c r="CQ90" i="13" s="1"/>
  <c r="BO71" i="13"/>
  <c r="BP67" i="13"/>
  <c r="BQ80" i="13"/>
  <c r="BO86" i="13"/>
  <c r="BO90" i="13" s="1"/>
  <c r="CJ67" i="13"/>
  <c r="CJ71" i="13"/>
  <c r="CJ75" i="13"/>
  <c r="CK77" i="13"/>
  <c r="CJ79" i="13"/>
  <c r="CK80" i="13"/>
  <c r="CL66" i="13"/>
  <c r="CL70" i="13"/>
  <c r="CL72" i="13"/>
  <c r="CN73" i="13"/>
  <c r="CN79" i="13"/>
  <c r="CN82" i="13"/>
  <c r="CL83" i="13"/>
  <c r="CM86" i="13"/>
  <c r="CM90" i="13" s="1"/>
  <c r="CN86" i="13"/>
  <c r="CN90" i="13" s="1"/>
  <c r="CO70" i="13"/>
  <c r="CQ71" i="13"/>
  <c r="CO74" i="13"/>
  <c r="CQ75" i="13"/>
  <c r="BP73" i="13"/>
  <c r="BP69" i="13"/>
  <c r="BR66" i="13"/>
  <c r="CD82" i="13"/>
  <c r="CF80" i="13"/>
  <c r="CD70" i="13"/>
  <c r="CJ66" i="13"/>
  <c r="CK67" i="13"/>
  <c r="CI76" i="13"/>
  <c r="CJ76" i="13"/>
  <c r="CJ80" i="13"/>
  <c r="CI82" i="13"/>
  <c r="CJ82" i="13"/>
  <c r="CJ83" i="13"/>
  <c r="CK86" i="13"/>
  <c r="CK90" i="13" s="1"/>
  <c r="CI86" i="13"/>
  <c r="CI90" i="13" s="1"/>
  <c r="BO82" i="13"/>
  <c r="BO76" i="13"/>
  <c r="BQ83" i="13"/>
  <c r="BQ82" i="13"/>
  <c r="BQ79" i="13"/>
  <c r="BQ77" i="13"/>
  <c r="BQ67" i="13"/>
  <c r="BP83" i="13"/>
  <c r="BP72" i="13"/>
  <c r="BT83" i="13"/>
  <c r="BT82" i="13"/>
  <c r="BT79" i="13"/>
  <c r="BT76" i="13"/>
  <c r="BT75" i="13"/>
  <c r="BT74" i="13"/>
  <c r="BT73" i="13"/>
  <c r="BT72" i="13"/>
  <c r="BT71" i="13"/>
  <c r="BT70" i="13"/>
  <c r="BQ86" i="13"/>
  <c r="BQ90" i="13" s="1"/>
  <c r="BQ75" i="13"/>
  <c r="BQ74" i="13"/>
  <c r="BQ73" i="13"/>
  <c r="BQ72" i="13"/>
  <c r="BQ71" i="13"/>
  <c r="BQ70" i="13"/>
  <c r="BQ69" i="13"/>
  <c r="BO67" i="13"/>
  <c r="BP74" i="13"/>
  <c r="BP70" i="13"/>
  <c r="BQ66" i="13"/>
  <c r="BT80" i="13"/>
  <c r="BT77" i="13"/>
  <c r="BT67" i="13"/>
  <c r="CC86" i="13"/>
  <c r="CC90" i="13" s="1"/>
  <c r="CE83" i="13"/>
  <c r="CA83" i="13"/>
  <c r="CE82" i="13"/>
  <c r="CA82" i="13"/>
  <c r="CC79" i="13"/>
  <c r="CE79" i="13"/>
  <c r="CA79" i="13"/>
  <c r="CE76" i="13"/>
  <c r="CA76" i="13"/>
  <c r="CC75" i="13"/>
  <c r="CE75" i="13"/>
  <c r="CA75" i="13"/>
  <c r="CA67" i="13"/>
  <c r="CC67" i="13"/>
  <c r="CK75" i="13"/>
  <c r="CK76" i="13"/>
  <c r="CK79" i="13"/>
  <c r="CK82" i="13"/>
  <c r="CN66" i="13"/>
  <c r="CL67" i="13"/>
  <c r="CL75" i="13"/>
  <c r="CN83" i="13"/>
  <c r="CM74" i="13"/>
  <c r="CM83" i="13"/>
  <c r="BO79" i="13"/>
  <c r="BO74" i="13"/>
  <c r="BO70" i="13"/>
  <c r="BP66" i="13"/>
  <c r="BS83" i="13"/>
  <c r="BS82" i="13"/>
  <c r="BS79" i="13"/>
  <c r="BS76" i="13"/>
  <c r="BS75" i="13"/>
  <c r="BS74" i="13"/>
  <c r="BS73" i="13"/>
  <c r="BS72" i="13"/>
  <c r="BS71" i="13"/>
  <c r="BS70" i="13"/>
  <c r="BS69" i="13"/>
  <c r="BT86" i="13"/>
  <c r="BT90" i="13" s="1"/>
  <c r="BU73" i="13"/>
  <c r="BY72" i="13"/>
  <c r="BU69" i="13"/>
  <c r="CA86" i="13"/>
  <c r="CA90" i="13" s="1"/>
  <c r="CC82" i="13"/>
  <c r="CE80" i="13"/>
  <c r="CA80" i="13"/>
  <c r="CA77" i="13"/>
  <c r="CC76" i="13"/>
  <c r="CC74" i="13"/>
  <c r="CC73" i="13"/>
  <c r="CC72" i="13"/>
  <c r="CC70" i="13"/>
  <c r="CC69" i="13"/>
  <c r="CE67" i="13"/>
  <c r="CK66" i="13"/>
  <c r="CI69" i="13"/>
  <c r="CK70" i="13"/>
  <c r="CI71" i="13"/>
  <c r="CK72" i="13"/>
  <c r="CI73" i="13"/>
  <c r="CK74" i="13"/>
  <c r="CI75" i="13"/>
  <c r="CI79" i="13"/>
  <c r="CK83" i="13"/>
  <c r="CL76" i="13"/>
  <c r="CL82" i="13"/>
  <c r="CQ66" i="13"/>
  <c r="CO69" i="13"/>
  <c r="CQ70" i="13"/>
  <c r="CO71" i="13"/>
  <c r="CQ72" i="13"/>
  <c r="CO73" i="13"/>
  <c r="CQ74" i="13"/>
  <c r="CO75" i="13"/>
  <c r="CP77" i="13"/>
  <c r="CO79" i="13"/>
  <c r="CO82" i="13"/>
  <c r="CQ83" i="13"/>
  <c r="CL80" i="13"/>
  <c r="BO83" i="13"/>
  <c r="BO75" i="13"/>
  <c r="BO72" i="13"/>
  <c r="BP80" i="13"/>
  <c r="BP77" i="13"/>
  <c r="BS80" i="13"/>
  <c r="BS77" i="13"/>
  <c r="BS67" i="13"/>
  <c r="BS86" i="13"/>
  <c r="BS90" i="13" s="1"/>
  <c r="BP86" i="13"/>
  <c r="BP90" i="13" s="1"/>
  <c r="BU74" i="13"/>
  <c r="BY71" i="13"/>
  <c r="BU70" i="13"/>
  <c r="CE86" i="13"/>
  <c r="CE90" i="13" s="1"/>
  <c r="BO66" i="13"/>
  <c r="BO80" i="13"/>
  <c r="BO77" i="13"/>
  <c r="BP82" i="13"/>
  <c r="BP79" i="13"/>
  <c r="BP76" i="13"/>
  <c r="BP75" i="13"/>
  <c r="BP71" i="13"/>
  <c r="BS66" i="13"/>
  <c r="BR82" i="13"/>
  <c r="BR80" i="13"/>
  <c r="BR77" i="13"/>
  <c r="BR76" i="13"/>
  <c r="BR74" i="13"/>
  <c r="BR73" i="13"/>
  <c r="BR72" i="13"/>
  <c r="BR70" i="13"/>
  <c r="BR69" i="13"/>
  <c r="BR67" i="13"/>
  <c r="BR86" i="13"/>
  <c r="BR90" i="13" s="1"/>
  <c r="CI67" i="13"/>
  <c r="CM69" i="13"/>
  <c r="CM71" i="13"/>
  <c r="CM73" i="13"/>
  <c r="CM75" i="13"/>
  <c r="CM76" i="13"/>
  <c r="CM79" i="13"/>
  <c r="CM82" i="13"/>
  <c r="CL86" i="13"/>
  <c r="CL90" i="13" s="1"/>
  <c r="CO67" i="13"/>
  <c r="CP75" i="13"/>
  <c r="CP79" i="13"/>
  <c r="CO86" i="13"/>
  <c r="CO90" i="13" s="1"/>
  <c r="CC66" i="13"/>
  <c r="CF83" i="13"/>
  <c r="CB83" i="13"/>
  <c r="CF82" i="13"/>
  <c r="CB82" i="13"/>
  <c r="CD80" i="13"/>
  <c r="CF79" i="13"/>
  <c r="CB79" i="13"/>
  <c r="CD77" i="13"/>
  <c r="CF75" i="13"/>
  <c r="CB75" i="13"/>
  <c r="CF74" i="13"/>
  <c r="CB74" i="13"/>
  <c r="CF73" i="13"/>
  <c r="CB73" i="13"/>
  <c r="CD67" i="13"/>
  <c r="CA66" i="13"/>
  <c r="CE66" i="13"/>
  <c r="CF86" i="13"/>
  <c r="CF90" i="13" s="1"/>
  <c r="CB86" i="13"/>
  <c r="CB90" i="13" s="1"/>
  <c r="CD83" i="13"/>
  <c r="CD79" i="13"/>
  <c r="CF77" i="13"/>
  <c r="CB77" i="13"/>
  <c r="CD76" i="13"/>
  <c r="CD75" i="13"/>
  <c r="CD73" i="13"/>
  <c r="CD72" i="13"/>
  <c r="CD71" i="13"/>
  <c r="CD69" i="13"/>
  <c r="CF67" i="13"/>
  <c r="CB67" i="13"/>
  <c r="BW86" i="13"/>
  <c r="BW90" i="13" s="1"/>
  <c r="BY83" i="13"/>
  <c r="BU82" i="13"/>
  <c r="BY79" i="13"/>
  <c r="BY76" i="13"/>
  <c r="BY75" i="13"/>
  <c r="BW67" i="13"/>
  <c r="BY86" i="13"/>
  <c r="BY90" i="13" s="1"/>
  <c r="BU86" i="13"/>
  <c r="BU90" i="13" s="1"/>
  <c r="BU83" i="13"/>
  <c r="BW83" i="13"/>
  <c r="BY82" i="13"/>
  <c r="BW82" i="13"/>
  <c r="BW80" i="13"/>
  <c r="BY80" i="13"/>
  <c r="BU80" i="13"/>
  <c r="BU79" i="13"/>
  <c r="BW79" i="13"/>
  <c r="BW77" i="13"/>
  <c r="BY77" i="13"/>
  <c r="BU77" i="13"/>
  <c r="BU76" i="13"/>
  <c r="BW76" i="13"/>
  <c r="BU75" i="13"/>
  <c r="BW75" i="13"/>
  <c r="BY74" i="13"/>
  <c r="BW74" i="13"/>
  <c r="BY73" i="13"/>
  <c r="BW73" i="13"/>
  <c r="BU72" i="13"/>
  <c r="BW72" i="13"/>
  <c r="BU71" i="13"/>
  <c r="BW71" i="13"/>
  <c r="BY70" i="13"/>
  <c r="BW70" i="13"/>
  <c r="BY69" i="13"/>
  <c r="BW69" i="13"/>
  <c r="BY67" i="13"/>
  <c r="BU67" i="13"/>
  <c r="BX80" i="13"/>
  <c r="BX77" i="13"/>
  <c r="BZ74" i="13"/>
  <c r="BV74" i="13"/>
  <c r="BZ73" i="13"/>
  <c r="BV73" i="13"/>
  <c r="BZ72" i="13"/>
  <c r="BV72" i="13"/>
  <c r="BZ71" i="13"/>
  <c r="BV71" i="13"/>
  <c r="BZ70" i="13"/>
  <c r="BV70" i="13"/>
  <c r="BZ69" i="13"/>
  <c r="BV69" i="13"/>
  <c r="BZ83" i="13"/>
  <c r="BV82" i="13"/>
  <c r="BV79" i="13"/>
  <c r="BZ76" i="13"/>
  <c r="BZ75" i="13"/>
  <c r="BX67" i="13"/>
  <c r="BX66" i="13"/>
  <c r="BW66" i="13"/>
  <c r="BX86" i="13"/>
  <c r="BX90" i="13" s="1"/>
  <c r="BV83" i="13"/>
  <c r="BZ82" i="13"/>
  <c r="BZ79" i="13"/>
  <c r="BV76" i="13"/>
  <c r="BV75" i="13"/>
  <c r="BU66" i="13"/>
  <c r="BY66" i="13"/>
  <c r="BZ86" i="13"/>
  <c r="BZ90" i="13" s="1"/>
  <c r="BV86" i="13"/>
  <c r="BV90" i="13" s="1"/>
  <c r="BX83" i="13"/>
  <c r="BX82" i="13"/>
  <c r="BZ80" i="13"/>
  <c r="BV80" i="13"/>
  <c r="BX79" i="13"/>
  <c r="BZ77" i="13"/>
  <c r="BV77" i="13"/>
  <c r="BX76" i="13"/>
  <c r="BX75" i="13"/>
  <c r="BX74" i="13"/>
  <c r="BX73" i="13"/>
  <c r="BX72" i="13"/>
  <c r="BX71" i="13"/>
  <c r="BX70" i="13"/>
  <c r="BX69" i="13"/>
  <c r="BZ67" i="13"/>
  <c r="BV67" i="13"/>
  <c r="BF68" i="13"/>
  <c r="BG68" i="13"/>
  <c r="BH68" i="13"/>
  <c r="BI68" i="13"/>
  <c r="BJ68" i="13"/>
  <c r="BK68" i="13"/>
  <c r="BL68" i="13"/>
  <c r="BF78" i="13"/>
  <c r="BG78" i="13"/>
  <c r="BH78" i="13"/>
  <c r="BI78" i="13"/>
  <c r="BJ78" i="13"/>
  <c r="BK78" i="13"/>
  <c r="BL78" i="13"/>
  <c r="BF81" i="13"/>
  <c r="BG81" i="13"/>
  <c r="BH81" i="13"/>
  <c r="BI81" i="13"/>
  <c r="BJ81" i="13"/>
  <c r="BK81" i="13"/>
  <c r="BL81" i="13"/>
  <c r="BF84" i="13"/>
  <c r="BG84" i="13"/>
  <c r="BH84" i="13"/>
  <c r="BI84" i="13"/>
  <c r="BJ84" i="13"/>
  <c r="BK84" i="13"/>
  <c r="BL84" i="13"/>
  <c r="BF85" i="13"/>
  <c r="BG85" i="13"/>
  <c r="BH85" i="13"/>
  <c r="BI85" i="13"/>
  <c r="BJ85" i="13"/>
  <c r="BK85" i="13"/>
  <c r="BL85" i="13"/>
  <c r="BF87" i="13"/>
  <c r="BG87" i="13"/>
  <c r="BH87" i="13"/>
  <c r="BI87" i="13"/>
  <c r="BJ87" i="13"/>
  <c r="BK87" i="13"/>
  <c r="BL87" i="13"/>
  <c r="BE68" i="13"/>
  <c r="BE78" i="13"/>
  <c r="BE81" i="13"/>
  <c r="BE84" i="13"/>
  <c r="BE85" i="13"/>
  <c r="BE87" i="13"/>
  <c r="AX68" i="13"/>
  <c r="AY68" i="13"/>
  <c r="AZ68" i="13"/>
  <c r="BA68" i="13"/>
  <c r="BB68" i="13"/>
  <c r="BC68" i="13"/>
  <c r="BD68" i="13"/>
  <c r="AX78" i="13"/>
  <c r="AY78" i="13"/>
  <c r="AZ78" i="13"/>
  <c r="BA78" i="13"/>
  <c r="BB78" i="13"/>
  <c r="BC78" i="13"/>
  <c r="BD78" i="13"/>
  <c r="AX81" i="13"/>
  <c r="AY81" i="13"/>
  <c r="AZ81" i="13"/>
  <c r="BA81" i="13"/>
  <c r="BB81" i="13"/>
  <c r="BC81" i="13"/>
  <c r="BD81" i="13"/>
  <c r="AX84" i="13"/>
  <c r="AY84" i="13"/>
  <c r="AZ84" i="13"/>
  <c r="BA84" i="13"/>
  <c r="BB84" i="13"/>
  <c r="BC84" i="13"/>
  <c r="BD84" i="13"/>
  <c r="AX85" i="13"/>
  <c r="AY85" i="13"/>
  <c r="AZ85" i="13"/>
  <c r="BA85" i="13"/>
  <c r="BB85" i="13"/>
  <c r="BC85" i="13"/>
  <c r="BD85" i="13"/>
  <c r="AX87" i="13"/>
  <c r="AY87" i="13"/>
  <c r="AZ87" i="13"/>
  <c r="BA87" i="13"/>
  <c r="BB87" i="13"/>
  <c r="BC87" i="13"/>
  <c r="BD87" i="13"/>
  <c r="AW68" i="13"/>
  <c r="AW78" i="13"/>
  <c r="AW81" i="13"/>
  <c r="AW84" i="13"/>
  <c r="AW85" i="13"/>
  <c r="AW87" i="13"/>
  <c r="AR68" i="13"/>
  <c r="AS68" i="13"/>
  <c r="AT68" i="13"/>
  <c r="AU68" i="13"/>
  <c r="AV68" i="13"/>
  <c r="AR78" i="13"/>
  <c r="AS78" i="13"/>
  <c r="AT78" i="13"/>
  <c r="AU78" i="13"/>
  <c r="AV78" i="13"/>
  <c r="AR81" i="13"/>
  <c r="AS81" i="13"/>
  <c r="AT81" i="13"/>
  <c r="AU81" i="13"/>
  <c r="AV81" i="13"/>
  <c r="AR84" i="13"/>
  <c r="AS84" i="13"/>
  <c r="AT84" i="13"/>
  <c r="AU84" i="13"/>
  <c r="AV84" i="13"/>
  <c r="AR85" i="13"/>
  <c r="AS85" i="13"/>
  <c r="AT85" i="13"/>
  <c r="AU85" i="13"/>
  <c r="AV85" i="13"/>
  <c r="AR87" i="13"/>
  <c r="AS87" i="13"/>
  <c r="AT87" i="13"/>
  <c r="AU87" i="13"/>
  <c r="AV87" i="13"/>
  <c r="AQ68" i="13"/>
  <c r="AQ78" i="13"/>
  <c r="AQ81" i="13"/>
  <c r="AQ84" i="13"/>
  <c r="AQ85" i="13"/>
  <c r="AQ87" i="13"/>
  <c r="AP68" i="13"/>
  <c r="AP78" i="13"/>
  <c r="AP81" i="13"/>
  <c r="AP84" i="13"/>
  <c r="AP85" i="13"/>
  <c r="AP87" i="13"/>
  <c r="AO68" i="13"/>
  <c r="AO78" i="13"/>
  <c r="AO81" i="13"/>
  <c r="AO84" i="13"/>
  <c r="AO85" i="13"/>
  <c r="AO87" i="13"/>
  <c r="G57" i="20" l="1"/>
  <c r="C57" i="20"/>
  <c r="E57" i="20"/>
  <c r="I57" i="20"/>
  <c r="F57" i="20"/>
  <c r="B57" i="20"/>
  <c r="D57" i="20"/>
  <c r="H57" i="20"/>
  <c r="FN91" i="13"/>
  <c r="FO91" i="13"/>
  <c r="FM91" i="13"/>
  <c r="B45" i="20" s="1"/>
  <c r="FP91" i="13"/>
  <c r="E45" i="20" s="1"/>
  <c r="EA90" i="13"/>
  <c r="FI91" i="13"/>
  <c r="FG91" i="13"/>
  <c r="FA91" i="13"/>
  <c r="LE91" i="13"/>
  <c r="B100" i="11" s="1"/>
  <c r="FL91" i="13"/>
  <c r="KY91" i="13"/>
  <c r="DZ90" i="13"/>
  <c r="EB90" i="13"/>
  <c r="LB91" i="13"/>
  <c r="FD91" i="13"/>
  <c r="FJ91" i="13"/>
  <c r="FH91" i="13"/>
  <c r="EX91" i="13"/>
  <c r="EY91" i="13"/>
  <c r="FB91" i="13"/>
  <c r="FK91" i="13"/>
  <c r="FF91" i="13"/>
  <c r="FR91" i="13"/>
  <c r="FC91" i="13"/>
  <c r="FS91" i="13"/>
  <c r="EA89" i="13"/>
  <c r="EM91" i="13"/>
  <c r="EQ91" i="13"/>
  <c r="C30" i="20" s="1"/>
  <c r="DW91" i="13"/>
  <c r="D15" i="20" s="1"/>
  <c r="EJ91" i="13"/>
  <c r="EP91" i="13"/>
  <c r="B30" i="20" s="1"/>
  <c r="EB89" i="13"/>
  <c r="EK91" i="13"/>
  <c r="ET91" i="13"/>
  <c r="F30" i="20" s="1"/>
  <c r="EL91" i="13"/>
  <c r="EH91" i="13"/>
  <c r="EN91" i="13"/>
  <c r="EF91" i="13"/>
  <c r="ES91" i="13"/>
  <c r="E30" i="20" s="1"/>
  <c r="ER91" i="13"/>
  <c r="D30" i="20" s="1"/>
  <c r="EB88" i="13"/>
  <c r="DQ91" i="13"/>
  <c r="C8" i="20" s="1"/>
  <c r="EA88" i="13"/>
  <c r="DV91" i="13"/>
  <c r="C15" i="20" s="1"/>
  <c r="DZ89" i="13"/>
  <c r="DU91" i="13"/>
  <c r="DZ88" i="13"/>
  <c r="DR91" i="13"/>
  <c r="D8" i="20" s="1"/>
  <c r="DP91" i="13"/>
  <c r="B8" i="20" s="1"/>
  <c r="CI89" i="13"/>
  <c r="CE89" i="13"/>
  <c r="CD89" i="13"/>
  <c r="BW89" i="13"/>
  <c r="BE74" i="13"/>
  <c r="BE70" i="13"/>
  <c r="CB88" i="13"/>
  <c r="CP89" i="13"/>
  <c r="CI88" i="13"/>
  <c r="CI91" i="13" s="1"/>
  <c r="CQ89" i="13"/>
  <c r="BI66" i="13"/>
  <c r="BW88" i="13"/>
  <c r="BW91" i="13" s="1"/>
  <c r="BS89" i="13"/>
  <c r="CN89" i="13"/>
  <c r="BP89" i="13"/>
  <c r="BK72" i="13"/>
  <c r="CP88" i="13"/>
  <c r="BR89" i="13"/>
  <c r="CJ89" i="13"/>
  <c r="CJ88" i="13"/>
  <c r="CD88" i="13"/>
  <c r="CF88" i="13"/>
  <c r="CB89" i="13"/>
  <c r="CO88" i="13"/>
  <c r="CM88" i="13"/>
  <c r="BR88" i="13"/>
  <c r="BR91" i="13" s="1"/>
  <c r="CO89" i="13"/>
  <c r="CN88" i="13"/>
  <c r="CA89" i="13"/>
  <c r="BT88" i="13"/>
  <c r="BP88" i="13"/>
  <c r="BQ89" i="13"/>
  <c r="CL88" i="13"/>
  <c r="CA88" i="13"/>
  <c r="BQ88" i="13"/>
  <c r="BU89" i="13"/>
  <c r="CF89" i="13"/>
  <c r="CL89" i="13"/>
  <c r="CC89" i="13"/>
  <c r="BO89" i="13"/>
  <c r="BX89" i="13"/>
  <c r="CQ88" i="13"/>
  <c r="BI80" i="13"/>
  <c r="BI77" i="13"/>
  <c r="BJ74" i="13"/>
  <c r="BF74" i="13"/>
  <c r="BL73" i="13"/>
  <c r="BH73" i="13"/>
  <c r="BJ72" i="13"/>
  <c r="BF72" i="13"/>
  <c r="BL71" i="13"/>
  <c r="BH71" i="13"/>
  <c r="BJ70" i="13"/>
  <c r="BF70" i="13"/>
  <c r="BL69" i="13"/>
  <c r="BH69" i="13"/>
  <c r="CC88" i="13"/>
  <c r="CM89" i="13"/>
  <c r="CK89" i="13"/>
  <c r="BI74" i="13"/>
  <c r="BI72" i="13"/>
  <c r="BZ88" i="13"/>
  <c r="BT89" i="13"/>
  <c r="BY89" i="13"/>
  <c r="CE88" i="13"/>
  <c r="BS88" i="13"/>
  <c r="BO88" i="13"/>
  <c r="CK88" i="13"/>
  <c r="BE72" i="13"/>
  <c r="BE80" i="13"/>
  <c r="BE76" i="13"/>
  <c r="BK86" i="13"/>
  <c r="BK90" i="13" s="1"/>
  <c r="BF83" i="13"/>
  <c r="BJ77" i="13"/>
  <c r="BF77" i="13"/>
  <c r="BK76" i="13"/>
  <c r="BI76" i="13"/>
  <c r="BL75" i="13"/>
  <c r="BH75" i="13"/>
  <c r="BK74" i="13"/>
  <c r="BG74" i="13"/>
  <c r="BG72" i="13"/>
  <c r="BK70" i="13"/>
  <c r="BG70" i="13"/>
  <c r="BJ67" i="13"/>
  <c r="BL67" i="13"/>
  <c r="BH67" i="13"/>
  <c r="BK67" i="13"/>
  <c r="BG67" i="13"/>
  <c r="BE82" i="13"/>
  <c r="BE77" i="13"/>
  <c r="BG66" i="13"/>
  <c r="BK66" i="13"/>
  <c r="BG86" i="13"/>
  <c r="BG90" i="13" s="1"/>
  <c r="BJ83" i="13"/>
  <c r="BI82" i="13"/>
  <c r="BF79" i="13"/>
  <c r="BJ86" i="13"/>
  <c r="BJ90" i="13" s="1"/>
  <c r="BF86" i="13"/>
  <c r="BF90" i="13" s="1"/>
  <c r="BI83" i="13"/>
  <c r="BL77" i="13"/>
  <c r="BH77" i="13"/>
  <c r="BG76" i="13"/>
  <c r="BI70" i="13"/>
  <c r="BF67" i="13"/>
  <c r="BI86" i="13"/>
  <c r="BI90" i="13" s="1"/>
  <c r="BK80" i="13"/>
  <c r="BG80" i="13"/>
  <c r="BJ79" i="13"/>
  <c r="BK77" i="13"/>
  <c r="BG77" i="13"/>
  <c r="BJ75" i="13"/>
  <c r="BF75" i="13"/>
  <c r="BL74" i="13"/>
  <c r="BH74" i="13"/>
  <c r="BJ73" i="13"/>
  <c r="BF73" i="13"/>
  <c r="BL72" i="13"/>
  <c r="BH72" i="13"/>
  <c r="BJ71" i="13"/>
  <c r="BF71" i="13"/>
  <c r="BL70" i="13"/>
  <c r="BH70" i="13"/>
  <c r="BJ69" i="13"/>
  <c r="BF69" i="13"/>
  <c r="BZ89" i="13"/>
  <c r="BV89" i="13"/>
  <c r="BC86" i="13"/>
  <c r="BC90" i="13" s="1"/>
  <c r="BY88" i="13"/>
  <c r="BV88" i="13"/>
  <c r="BU88" i="13"/>
  <c r="BL80" i="13"/>
  <c r="BH80" i="13"/>
  <c r="BK79" i="13"/>
  <c r="BG79" i="13"/>
  <c r="BK75" i="13"/>
  <c r="BG75" i="13"/>
  <c r="BK73" i="13"/>
  <c r="BG73" i="13"/>
  <c r="BK71" i="13"/>
  <c r="BG71" i="13"/>
  <c r="BK69" i="13"/>
  <c r="BG69" i="13"/>
  <c r="BL79" i="13"/>
  <c r="BE71" i="13"/>
  <c r="BH66" i="13"/>
  <c r="BL66" i="13"/>
  <c r="BE86" i="13"/>
  <c r="BK82" i="13"/>
  <c r="BH79" i="13"/>
  <c r="BE79" i="13"/>
  <c r="BE75" i="13"/>
  <c r="BE73" i="13"/>
  <c r="BE69" i="13"/>
  <c r="BE66" i="13"/>
  <c r="BL83" i="13"/>
  <c r="BH83" i="13"/>
  <c r="BG82" i="13"/>
  <c r="BE83" i="13"/>
  <c r="BF66" i="13"/>
  <c r="BJ66" i="13"/>
  <c r="BL86" i="13"/>
  <c r="BL90" i="13" s="1"/>
  <c r="BH86" i="13"/>
  <c r="BH90" i="13" s="1"/>
  <c r="BK83" i="13"/>
  <c r="BG83" i="13"/>
  <c r="BJ80" i="13"/>
  <c r="BF80" i="13"/>
  <c r="BI79" i="13"/>
  <c r="BI75" i="13"/>
  <c r="BI73" i="13"/>
  <c r="BI71" i="13"/>
  <c r="BI69" i="13"/>
  <c r="BD86" i="13"/>
  <c r="BD90" i="13" s="1"/>
  <c r="AZ86" i="13"/>
  <c r="AZ90" i="13" s="1"/>
  <c r="BC83" i="13"/>
  <c r="AY83" i="13"/>
  <c r="BB80" i="13"/>
  <c r="AX80" i="13"/>
  <c r="BB77" i="13"/>
  <c r="AX77" i="13"/>
  <c r="BC74" i="13"/>
  <c r="AY74" i="13"/>
  <c r="BA71" i="13"/>
  <c r="AY70" i="13"/>
  <c r="BA69" i="13"/>
  <c r="BX88" i="13"/>
  <c r="BB74" i="13"/>
  <c r="BB72" i="13"/>
  <c r="AX70" i="13"/>
  <c r="AW80" i="13"/>
  <c r="AW77" i="13"/>
  <c r="BA80" i="13"/>
  <c r="BA77" i="13"/>
  <c r="AX74" i="13"/>
  <c r="BA73" i="13"/>
  <c r="BD73" i="13"/>
  <c r="AZ73" i="13"/>
  <c r="AX72" i="13"/>
  <c r="BD71" i="13"/>
  <c r="AZ71" i="13"/>
  <c r="BC70" i="13"/>
  <c r="BB70" i="13"/>
  <c r="BD69" i="13"/>
  <c r="AZ69" i="13"/>
  <c r="AW66" i="13"/>
  <c r="AW86" i="13"/>
  <c r="AW90" i="13" s="1"/>
  <c r="AW82" i="13"/>
  <c r="AW76" i="13"/>
  <c r="AW74" i="13"/>
  <c r="AW72" i="13"/>
  <c r="AW70" i="13"/>
  <c r="AW67" i="13"/>
  <c r="BA66" i="13"/>
  <c r="AX86" i="13"/>
  <c r="AX90" i="13" s="1"/>
  <c r="BA86" i="13"/>
  <c r="BA90" i="13" s="1"/>
  <c r="BD83" i="13"/>
  <c r="AZ83" i="13"/>
  <c r="AY82" i="13"/>
  <c r="AZ80" i="13"/>
  <c r="BC80" i="13"/>
  <c r="AY80" i="13"/>
  <c r="AY79" i="13"/>
  <c r="BC77" i="13"/>
  <c r="AY77" i="13"/>
  <c r="AX76" i="13"/>
  <c r="BC75" i="13"/>
  <c r="BB75" i="13"/>
  <c r="AX75" i="13"/>
  <c r="BD74" i="13"/>
  <c r="AZ74" i="13"/>
  <c r="BC73" i="13"/>
  <c r="BB73" i="13"/>
  <c r="AX73" i="13"/>
  <c r="BD72" i="13"/>
  <c r="AZ72" i="13"/>
  <c r="AY71" i="13"/>
  <c r="BB71" i="13"/>
  <c r="AX71" i="13"/>
  <c r="BD70" i="13"/>
  <c r="AZ70" i="13"/>
  <c r="AY69" i="13"/>
  <c r="BB69" i="13"/>
  <c r="AX69" i="13"/>
  <c r="BA67" i="13"/>
  <c r="BD66" i="13"/>
  <c r="BB66" i="13"/>
  <c r="AS80" i="13"/>
  <c r="AS77" i="13"/>
  <c r="AV74" i="13"/>
  <c r="AR74" i="13"/>
  <c r="AT73" i="13"/>
  <c r="AV72" i="13"/>
  <c r="AR72" i="13"/>
  <c r="AT71" i="13"/>
  <c r="AV70" i="13"/>
  <c r="AR70" i="13"/>
  <c r="AT69" i="13"/>
  <c r="AV83" i="13"/>
  <c r="AR83" i="13"/>
  <c r="AU80" i="13"/>
  <c r="AU77" i="13"/>
  <c r="AT74" i="13"/>
  <c r="AV73" i="13"/>
  <c r="AR73" i="13"/>
  <c r="AT72" i="13"/>
  <c r="AV71" i="13"/>
  <c r="AR71" i="13"/>
  <c r="AT70" i="13"/>
  <c r="AV69" i="13"/>
  <c r="AR69" i="13"/>
  <c r="AO66" i="13"/>
  <c r="AO86" i="13"/>
  <c r="AO90" i="13" s="1"/>
  <c r="AO67" i="13"/>
  <c r="AP75" i="13"/>
  <c r="AP73" i="13"/>
  <c r="AP71" i="13"/>
  <c r="AP69" i="13"/>
  <c r="AQ80" i="13"/>
  <c r="AQ77" i="13"/>
  <c r="AS66" i="13"/>
  <c r="AU86" i="13"/>
  <c r="AU90" i="13" s="1"/>
  <c r="AT75" i="13"/>
  <c r="AU67" i="13"/>
  <c r="AP82" i="13"/>
  <c r="AP79" i="13"/>
  <c r="AP76" i="13"/>
  <c r="AT82" i="13"/>
  <c r="AT79" i="13"/>
  <c r="AX82" i="13"/>
  <c r="AX79" i="13"/>
  <c r="AY66" i="13"/>
  <c r="BD82" i="13"/>
  <c r="BA79" i="13"/>
  <c r="BD79" i="13"/>
  <c r="BA76" i="13"/>
  <c r="BD76" i="13"/>
  <c r="AZ75" i="13"/>
  <c r="AZ67" i="13"/>
  <c r="BC67" i="13"/>
  <c r="AT76" i="13"/>
  <c r="BB82" i="13"/>
  <c r="BB79" i="13"/>
  <c r="BB76" i="13"/>
  <c r="AO74" i="13"/>
  <c r="AO70" i="13"/>
  <c r="AP66" i="13"/>
  <c r="AP67" i="13"/>
  <c r="AQ82" i="13"/>
  <c r="AQ79" i="13"/>
  <c r="AQ76" i="13"/>
  <c r="AQ73" i="13"/>
  <c r="AX66" i="13"/>
  <c r="AP74" i="13"/>
  <c r="AP70" i="13"/>
  <c r="AQ86" i="13"/>
  <c r="AQ90" i="13" s="1"/>
  <c r="AQ67" i="13"/>
  <c r="AU66" i="13"/>
  <c r="AV82" i="13"/>
  <c r="AV79" i="13"/>
  <c r="AV76" i="13"/>
  <c r="AR75" i="13"/>
  <c r="AY86" i="13"/>
  <c r="AY90" i="13" s="1"/>
  <c r="BB83" i="13"/>
  <c r="AO82" i="13"/>
  <c r="AO79" i="13"/>
  <c r="AO76" i="13"/>
  <c r="AO75" i="13"/>
  <c r="AO73" i="13"/>
  <c r="AO71" i="13"/>
  <c r="AO69" i="13"/>
  <c r="AP80" i="13"/>
  <c r="AP77" i="13"/>
  <c r="AQ83" i="13"/>
  <c r="AW79" i="13"/>
  <c r="AW75" i="13"/>
  <c r="AW73" i="13"/>
  <c r="AW71" i="13"/>
  <c r="AW69" i="13"/>
  <c r="AZ66" i="13"/>
  <c r="BB86" i="13"/>
  <c r="BB90" i="13" s="1"/>
  <c r="BA83" i="13"/>
  <c r="BC82" i="13"/>
  <c r="BD80" i="13"/>
  <c r="BC79" i="13"/>
  <c r="AY75" i="13"/>
  <c r="AY73" i="13"/>
  <c r="BA72" i="13"/>
  <c r="BC71" i="13"/>
  <c r="BC69" i="13"/>
  <c r="AO83" i="13"/>
  <c r="AO72" i="13"/>
  <c r="AP86" i="13"/>
  <c r="AP90" i="13" s="1"/>
  <c r="AQ75" i="13"/>
  <c r="AW83" i="13"/>
  <c r="BA75" i="13"/>
  <c r="BD67" i="13"/>
  <c r="AO80" i="13"/>
  <c r="AO77" i="13"/>
  <c r="AP83" i="13"/>
  <c r="AP72" i="13"/>
  <c r="AQ66" i="13"/>
  <c r="AS86" i="13"/>
  <c r="AS90" i="13" s="1"/>
  <c r="AT83" i="13"/>
  <c r="AR82" i="13"/>
  <c r="AR79" i="13"/>
  <c r="AR76" i="13"/>
  <c r="AV75" i="13"/>
  <c r="AS67" i="13"/>
  <c r="BC66" i="13"/>
  <c r="AX83" i="13"/>
  <c r="AZ82" i="13"/>
  <c r="AZ79" i="13"/>
  <c r="AZ76" i="13"/>
  <c r="BD75" i="13"/>
  <c r="AY67" i="13"/>
  <c r="AQ74" i="13"/>
  <c r="AQ72" i="13"/>
  <c r="AQ70" i="13"/>
  <c r="AR66" i="13"/>
  <c r="AV66" i="13"/>
  <c r="AV86" i="13"/>
  <c r="AV90" i="13" s="1"/>
  <c r="AR86" i="13"/>
  <c r="AR90" i="13" s="1"/>
  <c r="AS83" i="13"/>
  <c r="AU82" i="13"/>
  <c r="AT80" i="13"/>
  <c r="AU79" i="13"/>
  <c r="AT77" i="13"/>
  <c r="AU76" i="13"/>
  <c r="AU75" i="13"/>
  <c r="AS74" i="13"/>
  <c r="AU73" i="13"/>
  <c r="AS72" i="13"/>
  <c r="AU71" i="13"/>
  <c r="AS70" i="13"/>
  <c r="AU69" i="13"/>
  <c r="AV67" i="13"/>
  <c r="AR67" i="13"/>
  <c r="BD77" i="13"/>
  <c r="AZ77" i="13"/>
  <c r="BC76" i="13"/>
  <c r="AY76" i="13"/>
  <c r="BA74" i="13"/>
  <c r="BA70" i="13"/>
  <c r="BB67" i="13"/>
  <c r="AX67" i="13"/>
  <c r="BE67" i="13"/>
  <c r="BJ82" i="13"/>
  <c r="BF82" i="13"/>
  <c r="BJ76" i="13"/>
  <c r="BF76" i="13"/>
  <c r="BI67" i="13"/>
  <c r="AQ71" i="13"/>
  <c r="AQ69" i="13"/>
  <c r="AT66" i="13"/>
  <c r="AT86" i="13"/>
  <c r="AT90" i="13" s="1"/>
  <c r="AU83" i="13"/>
  <c r="AS82" i="13"/>
  <c r="AV80" i="13"/>
  <c r="AR80" i="13"/>
  <c r="AS79" i="13"/>
  <c r="AV77" i="13"/>
  <c r="AR77" i="13"/>
  <c r="AS76" i="13"/>
  <c r="AS75" i="13"/>
  <c r="AU74" i="13"/>
  <c r="AS73" i="13"/>
  <c r="AU72" i="13"/>
  <c r="AS71" i="13"/>
  <c r="AU70" i="13"/>
  <c r="AS69" i="13"/>
  <c r="AT67" i="13"/>
  <c r="BA82" i="13"/>
  <c r="BC72" i="13"/>
  <c r="AY72" i="13"/>
  <c r="BL82" i="13"/>
  <c r="BH82" i="13"/>
  <c r="BL76" i="13"/>
  <c r="BH76" i="13"/>
  <c r="Z68" i="13"/>
  <c r="AA68" i="13"/>
  <c r="AB68" i="13"/>
  <c r="AG68" i="13" s="1"/>
  <c r="Z78" i="13"/>
  <c r="AA78" i="13"/>
  <c r="AB78" i="13"/>
  <c r="AG78" i="13" s="1"/>
  <c r="Z81" i="13"/>
  <c r="AA81" i="13"/>
  <c r="AB81" i="13"/>
  <c r="AG81" i="13" s="1"/>
  <c r="Z84" i="13"/>
  <c r="AB84" i="13"/>
  <c r="AG84" i="13" s="1"/>
  <c r="AA85" i="13"/>
  <c r="AB85" i="13"/>
  <c r="AG85" i="13" s="1"/>
  <c r="Z87" i="13"/>
  <c r="AA87" i="13"/>
  <c r="AB87" i="13"/>
  <c r="AG87" i="13" s="1"/>
  <c r="Y68" i="13"/>
  <c r="Y78" i="13"/>
  <c r="Y81" i="13"/>
  <c r="Y84" i="13"/>
  <c r="Y85" i="13"/>
  <c r="Y87" i="13"/>
  <c r="BE90" i="13" l="1"/>
  <c r="D45" i="20"/>
  <c r="C45" i="20"/>
  <c r="D37" i="20"/>
  <c r="F37" i="20"/>
  <c r="C37" i="20"/>
  <c r="E37" i="20"/>
  <c r="B37" i="20"/>
  <c r="CB91" i="13"/>
  <c r="J9" i="18" s="1"/>
  <c r="EB91" i="13"/>
  <c r="EA91" i="13"/>
  <c r="DZ91" i="13"/>
  <c r="CE91" i="13"/>
  <c r="C31" i="18" s="1"/>
  <c r="CD91" i="13"/>
  <c r="J20" i="18" s="1"/>
  <c r="BU91" i="13"/>
  <c r="BO91" i="13"/>
  <c r="BS91" i="13"/>
  <c r="CA91" i="13"/>
  <c r="C9" i="18" s="1"/>
  <c r="CQ91" i="13"/>
  <c r="CN91" i="13"/>
  <c r="CJ91" i="13"/>
  <c r="BQ91" i="13"/>
  <c r="CO91" i="13"/>
  <c r="B43" i="18" s="1"/>
  <c r="BP91" i="13"/>
  <c r="CF91" i="13"/>
  <c r="J31" i="18" s="1"/>
  <c r="AE68" i="13"/>
  <c r="CK91" i="13"/>
  <c r="BX91" i="13"/>
  <c r="CP91" i="13"/>
  <c r="C43" i="18" s="1"/>
  <c r="BI89" i="13"/>
  <c r="BV91" i="13"/>
  <c r="CL91" i="13"/>
  <c r="AB83" i="13"/>
  <c r="AG83" i="13" s="1"/>
  <c r="BZ91" i="13"/>
  <c r="CM91" i="13"/>
  <c r="AE87" i="13"/>
  <c r="AD84" i="13"/>
  <c r="AF78" i="13"/>
  <c r="AF68" i="13"/>
  <c r="BK89" i="13"/>
  <c r="BY91" i="13"/>
  <c r="CC91" i="13"/>
  <c r="C20" i="18" s="1"/>
  <c r="BJ88" i="13"/>
  <c r="BT91" i="13"/>
  <c r="AF85" i="13"/>
  <c r="AR89" i="13"/>
  <c r="BI88" i="13"/>
  <c r="AD81" i="13"/>
  <c r="AB80" i="13"/>
  <c r="AG80" i="13" s="1"/>
  <c r="AD78" i="13"/>
  <c r="AB77" i="13"/>
  <c r="AG77" i="13" s="1"/>
  <c r="AA73" i="13"/>
  <c r="AA71" i="13"/>
  <c r="AA69" i="13"/>
  <c r="AD68" i="13"/>
  <c r="BH88" i="13"/>
  <c r="BF88" i="13"/>
  <c r="BL88" i="13"/>
  <c r="BG89" i="13"/>
  <c r="BK88" i="13"/>
  <c r="BE89" i="13"/>
  <c r="BG88" i="13"/>
  <c r="BH89" i="13"/>
  <c r="AS89" i="13"/>
  <c r="BE88" i="13"/>
  <c r="BD88" i="13"/>
  <c r="AY89" i="13"/>
  <c r="AX88" i="13"/>
  <c r="BA88" i="13"/>
  <c r="AW88" i="13"/>
  <c r="AW89" i="13"/>
  <c r="BA89" i="13"/>
  <c r="BB88" i="13"/>
  <c r="BC89" i="13"/>
  <c r="AT89" i="13"/>
  <c r="AO89" i="13"/>
  <c r="AS88" i="13"/>
  <c r="AV89" i="13"/>
  <c r="AQ89" i="13"/>
  <c r="AU88" i="13"/>
  <c r="AV88" i="13"/>
  <c r="AO88" i="13"/>
  <c r="AT88" i="13"/>
  <c r="AT91" i="13" s="1"/>
  <c r="AR88" i="13"/>
  <c r="AQ88" i="13"/>
  <c r="AP88" i="13"/>
  <c r="BC88" i="13"/>
  <c r="AE81" i="13"/>
  <c r="Z80" i="13"/>
  <c r="AE78" i="13"/>
  <c r="Z77" i="13"/>
  <c r="AA74" i="13"/>
  <c r="AA70" i="13"/>
  <c r="AZ89" i="13"/>
  <c r="AZ88" i="13"/>
  <c r="BF89" i="13"/>
  <c r="AX89" i="13"/>
  <c r="AP89" i="13"/>
  <c r="AU89" i="13"/>
  <c r="BL89" i="13"/>
  <c r="BJ89" i="13"/>
  <c r="BB89" i="13"/>
  <c r="AF87" i="13"/>
  <c r="BD89" i="13"/>
  <c r="AY88" i="13"/>
  <c r="AD87" i="13"/>
  <c r="Y80" i="13"/>
  <c r="Y77" i="13"/>
  <c r="AF81" i="13"/>
  <c r="Y75" i="13"/>
  <c r="Y71" i="13"/>
  <c r="Y67" i="13"/>
  <c r="Z86" i="13"/>
  <c r="AA80" i="13"/>
  <c r="AA77" i="13"/>
  <c r="AB74" i="13"/>
  <c r="AG74" i="13" s="1"/>
  <c r="Z73" i="13"/>
  <c r="AB72" i="13"/>
  <c r="AG72" i="13" s="1"/>
  <c r="Z71" i="13"/>
  <c r="AB70" i="13"/>
  <c r="AG70" i="13" s="1"/>
  <c r="Z69" i="13"/>
  <c r="AA75" i="13"/>
  <c r="Z67" i="13"/>
  <c r="AA82" i="13"/>
  <c r="AA76" i="13"/>
  <c r="Y86" i="13"/>
  <c r="Z75" i="13"/>
  <c r="AA84" i="13"/>
  <c r="AE84" i="13" s="1"/>
  <c r="Y83" i="13"/>
  <c r="Y74" i="13"/>
  <c r="Y72" i="13"/>
  <c r="Y70" i="13"/>
  <c r="Z66" i="13"/>
  <c r="AB86" i="13"/>
  <c r="AG86" i="13" s="1"/>
  <c r="AA83" i="13"/>
  <c r="AA72" i="13"/>
  <c r="Y82" i="13"/>
  <c r="Y79" i="13"/>
  <c r="Y76" i="13"/>
  <c r="Z82" i="13"/>
  <c r="Z79" i="13"/>
  <c r="Y73" i="13"/>
  <c r="Y69" i="13"/>
  <c r="Y66" i="13"/>
  <c r="AA86" i="13"/>
  <c r="AE86" i="13" s="1"/>
  <c r="Z83" i="13"/>
  <c r="AB82" i="13"/>
  <c r="AG82" i="13" s="1"/>
  <c r="Z76" i="13"/>
  <c r="AB76" i="13"/>
  <c r="AG76" i="13" s="1"/>
  <c r="AB75" i="13"/>
  <c r="AG75" i="13" s="1"/>
  <c r="Z74" i="13"/>
  <c r="AB73" i="13"/>
  <c r="AG73" i="13" s="1"/>
  <c r="Z72" i="13"/>
  <c r="AG71" i="13"/>
  <c r="Z70" i="13"/>
  <c r="AB69" i="13"/>
  <c r="AG69" i="13" s="1"/>
  <c r="AB67" i="13"/>
  <c r="AG67" i="13" s="1"/>
  <c r="AA67" i="13"/>
  <c r="AB66" i="13"/>
  <c r="AG66" i="13" s="1"/>
  <c r="AB79" i="13"/>
  <c r="AG79" i="13" s="1"/>
  <c r="AA66" i="13"/>
  <c r="AE66" i="13" s="1"/>
  <c r="Z85" i="13"/>
  <c r="AD85" i="13" s="1"/>
  <c r="AA79" i="13"/>
  <c r="AD67" i="13" l="1"/>
  <c r="AF69" i="13"/>
  <c r="BD91" i="13"/>
  <c r="AE80" i="13"/>
  <c r="AD80" i="13"/>
  <c r="AE73" i="13"/>
  <c r="D40" i="15"/>
  <c r="E40" i="15"/>
  <c r="C41" i="15"/>
  <c r="G51" i="18"/>
  <c r="C51" i="18"/>
  <c r="D43" i="18"/>
  <c r="B41" i="15"/>
  <c r="B40" i="15"/>
  <c r="C40" i="15"/>
  <c r="D41" i="15"/>
  <c r="AF89" i="13"/>
  <c r="E41" i="15"/>
  <c r="AR91" i="13"/>
  <c r="AO91" i="13"/>
  <c r="BH91" i="13"/>
  <c r="E62" i="15" s="1"/>
  <c r="BC91" i="13"/>
  <c r="BI91" i="13"/>
  <c r="F62" i="15" s="1"/>
  <c r="BG91" i="13"/>
  <c r="D62" i="15" s="1"/>
  <c r="AF83" i="13"/>
  <c r="AS91" i="13"/>
  <c r="BF91" i="13"/>
  <c r="C62" i="15" s="1"/>
  <c r="AE67" i="13"/>
  <c r="AF71" i="13"/>
  <c r="BL91" i="13"/>
  <c r="I62" i="15" s="1"/>
  <c r="AQ91" i="13"/>
  <c r="BK91" i="13"/>
  <c r="H62" i="15" s="1"/>
  <c r="AD70" i="13"/>
  <c r="AD89" i="13"/>
  <c r="AE82" i="13"/>
  <c r="AF76" i="13"/>
  <c r="AD66" i="13"/>
  <c r="AF70" i="13"/>
  <c r="BJ91" i="13"/>
  <c r="G62" i="15" s="1"/>
  <c r="AU91" i="13"/>
  <c r="AV91" i="13"/>
  <c r="AF73" i="13"/>
  <c r="AD77" i="13"/>
  <c r="BE91" i="13"/>
  <c r="B62" i="15" s="1"/>
  <c r="AF74" i="13"/>
  <c r="AE74" i="13"/>
  <c r="AZ91" i="13"/>
  <c r="AY91" i="13"/>
  <c r="AP91" i="13"/>
  <c r="BA91" i="13"/>
  <c r="AX91" i="13"/>
  <c r="AW91" i="13"/>
  <c r="BB91" i="13"/>
  <c r="AF66" i="13"/>
  <c r="AF75" i="13"/>
  <c r="AE90" i="13"/>
  <c r="AD69" i="13"/>
  <c r="AD86" i="13"/>
  <c r="AD72" i="13"/>
  <c r="AE88" i="13"/>
  <c r="AD76" i="13"/>
  <c r="AD71" i="13"/>
  <c r="AF80" i="13"/>
  <c r="AF82" i="13"/>
  <c r="AD79" i="13"/>
  <c r="AF88" i="13"/>
  <c r="AF90" i="13"/>
  <c r="AD83" i="13"/>
  <c r="AD82" i="13"/>
  <c r="AE72" i="13"/>
  <c r="AE76" i="13"/>
  <c r="AE77" i="13"/>
  <c r="AF77" i="13"/>
  <c r="AE69" i="13"/>
  <c r="AF84" i="13"/>
  <c r="AE85" i="13"/>
  <c r="AF86" i="13"/>
  <c r="AD73" i="13"/>
  <c r="AF67" i="13"/>
  <c r="AE79" i="13"/>
  <c r="AF79" i="13"/>
  <c r="AD88" i="13"/>
  <c r="AD74" i="13"/>
  <c r="AD90" i="13"/>
  <c r="AE83" i="13"/>
  <c r="AD75" i="13"/>
  <c r="AE89" i="13"/>
  <c r="AE75" i="13"/>
  <c r="AF72" i="13"/>
  <c r="AE71" i="13"/>
  <c r="AE70" i="13"/>
  <c r="M68" i="13"/>
  <c r="N68" i="13"/>
  <c r="O68" i="13"/>
  <c r="P68" i="13"/>
  <c r="Q68" i="13"/>
  <c r="R68" i="13"/>
  <c r="S68" i="13"/>
  <c r="T68" i="13"/>
  <c r="M78" i="13"/>
  <c r="N78" i="13"/>
  <c r="O78" i="13"/>
  <c r="P78" i="13"/>
  <c r="Q78" i="13"/>
  <c r="R78" i="13"/>
  <c r="S78" i="13"/>
  <c r="T78" i="13"/>
  <c r="M81" i="13"/>
  <c r="N81" i="13"/>
  <c r="O81" i="13"/>
  <c r="P81" i="13"/>
  <c r="Q81" i="13"/>
  <c r="R81" i="13"/>
  <c r="S81" i="13"/>
  <c r="T81" i="13"/>
  <c r="M84" i="13"/>
  <c r="N84" i="13"/>
  <c r="O84" i="13"/>
  <c r="P84" i="13"/>
  <c r="Q84" i="13"/>
  <c r="R84" i="13"/>
  <c r="S84" i="13"/>
  <c r="T84" i="13"/>
  <c r="M85" i="13"/>
  <c r="N85" i="13"/>
  <c r="O85" i="13"/>
  <c r="P85" i="13"/>
  <c r="Q85" i="13"/>
  <c r="R85" i="13"/>
  <c r="S85" i="13"/>
  <c r="T85" i="13"/>
  <c r="M87" i="13"/>
  <c r="N87" i="13"/>
  <c r="O87" i="13"/>
  <c r="P87" i="13"/>
  <c r="Q87" i="13"/>
  <c r="R87" i="13"/>
  <c r="S87" i="13"/>
  <c r="T87" i="13"/>
  <c r="N66" i="13" l="1"/>
  <c r="R66" i="13"/>
  <c r="P66" i="13"/>
  <c r="T66" i="13"/>
  <c r="S66" i="13"/>
  <c r="O66" i="13"/>
  <c r="M86" i="13"/>
  <c r="M90" i="13" s="1"/>
  <c r="M83" i="13"/>
  <c r="M82" i="13"/>
  <c r="M80" i="13"/>
  <c r="Q79" i="13"/>
  <c r="M77" i="13"/>
  <c r="M76" i="13"/>
  <c r="Q75" i="13"/>
  <c r="M75" i="13"/>
  <c r="Q74" i="13"/>
  <c r="M74" i="13"/>
  <c r="M73" i="13"/>
  <c r="M72" i="13"/>
  <c r="M71" i="13"/>
  <c r="M70" i="13"/>
  <c r="M69" i="13"/>
  <c r="M67" i="13"/>
  <c r="Q66" i="13"/>
  <c r="P86" i="13"/>
  <c r="P90" i="13" s="1"/>
  <c r="T83" i="13"/>
  <c r="P82" i="13"/>
  <c r="T80" i="13"/>
  <c r="P79" i="13"/>
  <c r="T77" i="13"/>
  <c r="P76" i="13"/>
  <c r="T75" i="13"/>
  <c r="P74" i="13"/>
  <c r="P73" i="13"/>
  <c r="P72" i="13"/>
  <c r="P71" i="13"/>
  <c r="P70" i="13"/>
  <c r="P69" i="13"/>
  <c r="P67" i="13"/>
  <c r="S86" i="13"/>
  <c r="S90" i="13" s="1"/>
  <c r="O86" i="13"/>
  <c r="O90" i="13" s="1"/>
  <c r="S83" i="13"/>
  <c r="O83" i="13"/>
  <c r="S82" i="13"/>
  <c r="O82" i="13"/>
  <c r="S80" i="13"/>
  <c r="O80" i="13"/>
  <c r="S79" i="13"/>
  <c r="O79" i="13"/>
  <c r="S77" i="13"/>
  <c r="O77" i="13"/>
  <c r="S76" i="13"/>
  <c r="O76" i="13"/>
  <c r="S75" i="13"/>
  <c r="O75" i="13"/>
  <c r="S74" i="13"/>
  <c r="O74" i="13"/>
  <c r="S73" i="13"/>
  <c r="O73" i="13"/>
  <c r="S72" i="13"/>
  <c r="O72" i="13"/>
  <c r="S71" i="13"/>
  <c r="O71" i="13"/>
  <c r="S70" i="13"/>
  <c r="O70" i="13"/>
  <c r="S69" i="13"/>
  <c r="O69" i="13"/>
  <c r="S67" i="13"/>
  <c r="O67" i="13"/>
  <c r="Q86" i="13"/>
  <c r="Q90" i="13" s="1"/>
  <c r="Q83" i="13"/>
  <c r="Q82" i="13"/>
  <c r="Q80" i="13"/>
  <c r="M79" i="13"/>
  <c r="Q77" i="13"/>
  <c r="Q76" i="13"/>
  <c r="Q73" i="13"/>
  <c r="Q72" i="13"/>
  <c r="Q71" i="13"/>
  <c r="Q70" i="13"/>
  <c r="Q69" i="13"/>
  <c r="Q67" i="13"/>
  <c r="M66" i="13"/>
  <c r="T86" i="13"/>
  <c r="T90" i="13" s="1"/>
  <c r="P83" i="13"/>
  <c r="T82" i="13"/>
  <c r="P80" i="13"/>
  <c r="T79" i="13"/>
  <c r="P77" i="13"/>
  <c r="T76" i="13"/>
  <c r="P75" i="13"/>
  <c r="T74" i="13"/>
  <c r="T73" i="13"/>
  <c r="T72" i="13"/>
  <c r="T71" i="13"/>
  <c r="T70" i="13"/>
  <c r="T69" i="13"/>
  <c r="T67" i="13"/>
  <c r="R86" i="13"/>
  <c r="R90" i="13" s="1"/>
  <c r="N86" i="13"/>
  <c r="N90" i="13" s="1"/>
  <c r="R83" i="13"/>
  <c r="N83" i="13"/>
  <c r="R82" i="13"/>
  <c r="N82" i="13"/>
  <c r="R80" i="13"/>
  <c r="N80" i="13"/>
  <c r="R79" i="13"/>
  <c r="N79" i="13"/>
  <c r="R77" i="13"/>
  <c r="N77" i="13"/>
  <c r="R76" i="13"/>
  <c r="N76" i="13"/>
  <c r="R75" i="13"/>
  <c r="N75" i="13"/>
  <c r="R74" i="13"/>
  <c r="N74" i="13"/>
  <c r="R73" i="13"/>
  <c r="N73" i="13"/>
  <c r="R72" i="13"/>
  <c r="N72" i="13"/>
  <c r="R71" i="13"/>
  <c r="N71" i="13"/>
  <c r="R70" i="13"/>
  <c r="N70" i="13"/>
  <c r="R69" i="13"/>
  <c r="N69" i="13"/>
  <c r="R67" i="13"/>
  <c r="N67" i="13"/>
  <c r="S88" i="13" l="1"/>
  <c r="T89" i="13"/>
  <c r="R88" i="13"/>
  <c r="R89" i="13"/>
  <c r="T88" i="13"/>
  <c r="O88" i="13"/>
  <c r="P88" i="13"/>
  <c r="N88" i="13"/>
  <c r="N89" i="13"/>
  <c r="Q88" i="13"/>
  <c r="Q89" i="13"/>
  <c r="M88" i="13"/>
  <c r="O89" i="13"/>
  <c r="P89" i="13"/>
  <c r="M89" i="13"/>
  <c r="S89" i="13"/>
  <c r="E87" i="13" l="1"/>
  <c r="E86" i="13"/>
  <c r="E85" i="13"/>
  <c r="E84" i="13"/>
  <c r="E83" i="13"/>
  <c r="E82" i="13"/>
  <c r="E81" i="13"/>
  <c r="E80" i="13"/>
  <c r="E79" i="13"/>
  <c r="E78" i="13"/>
  <c r="E77" i="13"/>
  <c r="E76" i="13"/>
  <c r="E75" i="13"/>
  <c r="E74" i="13"/>
  <c r="E73" i="13"/>
  <c r="E72" i="13"/>
  <c r="D87" i="13"/>
  <c r="D86" i="13"/>
  <c r="D85" i="13"/>
  <c r="D84" i="13"/>
  <c r="D83" i="13"/>
  <c r="D82" i="13"/>
  <c r="D81" i="13"/>
  <c r="D80" i="13"/>
  <c r="D79" i="13"/>
  <c r="D78" i="13"/>
  <c r="D77" i="13"/>
  <c r="D76" i="13"/>
  <c r="D75" i="13"/>
  <c r="D74" i="13"/>
  <c r="D73" i="13"/>
  <c r="D72" i="13"/>
  <c r="D71" i="13"/>
  <c r="E71" i="13"/>
  <c r="I71" i="13" s="1"/>
  <c r="D70" i="13"/>
  <c r="E70" i="13"/>
  <c r="D69" i="13"/>
  <c r="E69" i="13"/>
  <c r="I69" i="13" s="1"/>
  <c r="D68" i="13"/>
  <c r="E68" i="13"/>
  <c r="D67" i="13"/>
  <c r="E67" i="13"/>
  <c r="I67" i="13" s="1"/>
  <c r="D66" i="13"/>
  <c r="E66" i="13"/>
  <c r="I73" i="13" l="1"/>
  <c r="I77" i="13"/>
  <c r="I74" i="13"/>
  <c r="I82" i="13"/>
  <c r="I86" i="13"/>
  <c r="I75" i="13"/>
  <c r="I79" i="13"/>
  <c r="I83" i="13"/>
  <c r="I66" i="13"/>
  <c r="I70" i="13"/>
  <c r="I72" i="13"/>
  <c r="I76" i="13"/>
  <c r="I80" i="13"/>
  <c r="E88" i="13"/>
  <c r="D90" i="13"/>
  <c r="E90" i="13"/>
  <c r="D88" i="13"/>
  <c r="E89" i="13"/>
  <c r="D89" i="13"/>
  <c r="I89" i="13" l="1"/>
  <c r="I90" i="13"/>
  <c r="I88" i="13"/>
  <c r="D91" i="13"/>
  <c r="E91" i="13"/>
  <c r="I91" i="13" l="1"/>
  <c r="C17" i="15" s="1"/>
  <c r="M31" i="18"/>
  <c r="F9" i="18"/>
  <c r="F31" i="18"/>
  <c r="M20" i="18"/>
  <c r="M9" i="18"/>
  <c r="F20" i="18"/>
  <c r="H71" i="13"/>
  <c r="H72" i="13"/>
  <c r="H83" i="13"/>
  <c r="H86" i="13"/>
  <c r="A29" i="37"/>
  <c r="K28" i="37" s="1"/>
  <c r="A21" i="37"/>
  <c r="K19" i="37" s="1"/>
  <c r="A63" i="22"/>
  <c r="A53" i="22"/>
  <c r="A42" i="22"/>
  <c r="A33" i="22"/>
  <c r="A26" i="22"/>
  <c r="K25" i="22" s="1"/>
  <c r="A17" i="22"/>
  <c r="A18" i="22" s="1"/>
  <c r="A9" i="22"/>
  <c r="K8" i="22" s="1"/>
  <c r="A6" i="11"/>
  <c r="A23" i="11"/>
  <c r="A32" i="11"/>
  <c r="L31" i="11" s="1"/>
  <c r="A45" i="11"/>
  <c r="A54" i="11"/>
  <c r="L53" i="11" s="1"/>
  <c r="A98" i="11"/>
  <c r="L97" i="11" s="1"/>
  <c r="A89" i="11"/>
  <c r="A90" i="11" s="1"/>
  <c r="A82" i="11"/>
  <c r="L82" i="11" s="1"/>
  <c r="A72" i="11"/>
  <c r="A63" i="11"/>
  <c r="L62" i="11" s="1"/>
  <c r="A55" i="20"/>
  <c r="A43" i="20"/>
  <c r="A35" i="20"/>
  <c r="A28" i="20"/>
  <c r="A20" i="20"/>
  <c r="A21" i="20" s="1"/>
  <c r="A13" i="20"/>
  <c r="A6" i="20"/>
  <c r="A49" i="18"/>
  <c r="A41" i="18"/>
  <c r="I39" i="18" s="1"/>
  <c r="H29" i="18"/>
  <c r="H30" i="18" s="1"/>
  <c r="H18" i="18"/>
  <c r="H19" i="18" s="1"/>
  <c r="H7" i="18"/>
  <c r="H8" i="18" s="1"/>
  <c r="A29" i="18"/>
  <c r="A18" i="18"/>
  <c r="J18" i="18" s="1"/>
  <c r="M18" i="18" s="1"/>
  <c r="A7" i="18"/>
  <c r="A67" i="15"/>
  <c r="B67" i="15" s="1"/>
  <c r="A60" i="15"/>
  <c r="K59" i="15" s="1"/>
  <c r="A33" i="15"/>
  <c r="A15" i="15"/>
  <c r="K14" i="15" s="1"/>
  <c r="H66" i="13"/>
  <c r="H69" i="13"/>
  <c r="H70" i="13"/>
  <c r="H73" i="13"/>
  <c r="H74" i="13"/>
  <c r="H76" i="13"/>
  <c r="H79" i="13"/>
  <c r="A6" i="15"/>
  <c r="K33" i="15" l="1"/>
  <c r="L33" i="15"/>
  <c r="K21" i="11"/>
  <c r="L22" i="11"/>
  <c r="K34" i="20"/>
  <c r="K49" i="20"/>
  <c r="K61" i="20"/>
  <c r="A99" i="11"/>
  <c r="D98" i="11"/>
  <c r="C98" i="11"/>
  <c r="B98" i="11"/>
  <c r="D7" i="37"/>
  <c r="E7" i="37"/>
  <c r="B7" i="37"/>
  <c r="C7" i="37"/>
  <c r="F7" i="37"/>
  <c r="A13" i="37" s="1"/>
  <c r="H7" i="37"/>
  <c r="G7" i="37"/>
  <c r="A22" i="37"/>
  <c r="D21" i="37"/>
  <c r="E21" i="37"/>
  <c r="B21" i="37"/>
  <c r="C21" i="37"/>
  <c r="A30" i="37"/>
  <c r="A64" i="22"/>
  <c r="E63" i="22"/>
  <c r="D63" i="22"/>
  <c r="B63" i="22"/>
  <c r="C63" i="22"/>
  <c r="A54" i="22"/>
  <c r="E53" i="22"/>
  <c r="B53" i="22"/>
  <c r="C53" i="22"/>
  <c r="F53" i="22"/>
  <c r="D53" i="22"/>
  <c r="A43" i="22"/>
  <c r="C42" i="22"/>
  <c r="B42" i="22"/>
  <c r="D42" i="22"/>
  <c r="A34" i="22"/>
  <c r="D33" i="22"/>
  <c r="F33" i="22"/>
  <c r="B33" i="22"/>
  <c r="G33" i="22"/>
  <c r="C33" i="22"/>
  <c r="E33" i="22"/>
  <c r="A27" i="22"/>
  <c r="F26" i="22"/>
  <c r="B26" i="22"/>
  <c r="E26" i="22"/>
  <c r="D26" i="22"/>
  <c r="G26" i="22"/>
  <c r="C26" i="22"/>
  <c r="A10" i="22"/>
  <c r="D9" i="22"/>
  <c r="G9" i="22"/>
  <c r="B9" i="22"/>
  <c r="F9" i="22"/>
  <c r="H9" i="22"/>
  <c r="C9" i="22"/>
  <c r="A83" i="11"/>
  <c r="F82" i="11"/>
  <c r="B82" i="11"/>
  <c r="E82" i="11"/>
  <c r="D82" i="11"/>
  <c r="G82" i="11"/>
  <c r="C82" i="11"/>
  <c r="A44" i="20"/>
  <c r="C43" i="20"/>
  <c r="D43" i="20"/>
  <c r="E43" i="20"/>
  <c r="B43" i="20"/>
  <c r="B45" i="11"/>
  <c r="C45" i="11"/>
  <c r="D45" i="11"/>
  <c r="A56" i="20"/>
  <c r="B55" i="20"/>
  <c r="H55" i="20"/>
  <c r="F55" i="20"/>
  <c r="D55" i="20"/>
  <c r="C55" i="20"/>
  <c r="E55" i="20"/>
  <c r="I55" i="20"/>
  <c r="A33" i="11"/>
  <c r="C32" i="11"/>
  <c r="B32" i="11"/>
  <c r="D32" i="11"/>
  <c r="A64" i="11"/>
  <c r="E63" i="11"/>
  <c r="D63" i="11"/>
  <c r="C63" i="11"/>
  <c r="B63" i="11"/>
  <c r="A24" i="11"/>
  <c r="D23" i="11"/>
  <c r="C23" i="11"/>
  <c r="B23" i="11"/>
  <c r="A73" i="11"/>
  <c r="C72" i="11"/>
  <c r="B72" i="11"/>
  <c r="E72" i="11"/>
  <c r="D72" i="11"/>
  <c r="D54" i="11"/>
  <c r="C54" i="11"/>
  <c r="B54" i="11"/>
  <c r="I54" i="11"/>
  <c r="D6" i="11"/>
  <c r="C6" i="11"/>
  <c r="B6" i="11"/>
  <c r="A36" i="20"/>
  <c r="A29" i="20"/>
  <c r="D28" i="20"/>
  <c r="C28" i="20"/>
  <c r="E28" i="20"/>
  <c r="F28" i="20"/>
  <c r="B28" i="20"/>
  <c r="C6" i="20"/>
  <c r="B6" i="20"/>
  <c r="D6" i="20"/>
  <c r="B13" i="20"/>
  <c r="C13" i="20"/>
  <c r="D13" i="20"/>
  <c r="A50" i="18"/>
  <c r="G49" i="18"/>
  <c r="C49" i="18"/>
  <c r="A42" i="18"/>
  <c r="D41" i="18"/>
  <c r="C41" i="18"/>
  <c r="B41" i="18"/>
  <c r="A30" i="18"/>
  <c r="J29" i="18"/>
  <c r="M29" i="18" s="1"/>
  <c r="C29" i="18"/>
  <c r="F29" i="18" s="1"/>
  <c r="A8" i="18"/>
  <c r="J7" i="18"/>
  <c r="M7" i="18" s="1"/>
  <c r="C7" i="18"/>
  <c r="F7" i="18" s="1"/>
  <c r="A19" i="18"/>
  <c r="C18" i="18"/>
  <c r="F18" i="18" s="1"/>
  <c r="A68" i="15"/>
  <c r="A61" i="15"/>
  <c r="E60" i="15"/>
  <c r="H60" i="15"/>
  <c r="D60" i="15"/>
  <c r="G60" i="15"/>
  <c r="B60" i="15"/>
  <c r="C60" i="15"/>
  <c r="F60" i="15"/>
  <c r="I60" i="15"/>
  <c r="A34" i="15"/>
  <c r="L34" i="15" s="1"/>
  <c r="I33" i="15"/>
  <c r="B33" i="15"/>
  <c r="A7" i="15"/>
  <c r="K6" i="15" s="1"/>
  <c r="D6" i="15"/>
  <c r="C6" i="15"/>
  <c r="A16" i="15"/>
  <c r="C15" i="15"/>
  <c r="A8" i="37"/>
  <c r="A55" i="11"/>
  <c r="A7" i="20"/>
  <c r="A46" i="11"/>
  <c r="A7" i="11"/>
  <c r="A14" i="20"/>
  <c r="H80" i="13"/>
  <c r="H77" i="13"/>
  <c r="H75" i="13"/>
  <c r="H67" i="13"/>
  <c r="H82" i="13"/>
  <c r="H90" i="13"/>
  <c r="I34" i="15" l="1"/>
  <c r="K34" i="15"/>
  <c r="B15" i="15"/>
  <c r="D8" i="37"/>
  <c r="B8" i="37"/>
  <c r="F8" i="37"/>
  <c r="G8" i="37"/>
  <c r="C8" i="37"/>
  <c r="E8" i="37"/>
  <c r="H8" i="37"/>
  <c r="D22" i="37"/>
  <c r="B22" i="37"/>
  <c r="C22" i="37"/>
  <c r="E22" i="37"/>
  <c r="C99" i="11"/>
  <c r="D99" i="11"/>
  <c r="B99" i="11"/>
  <c r="E54" i="22"/>
  <c r="F54" i="22"/>
  <c r="B54" i="22"/>
  <c r="D54" i="22"/>
  <c r="C54" i="22"/>
  <c r="E64" i="22"/>
  <c r="D64" i="22"/>
  <c r="B64" i="22"/>
  <c r="C64" i="22"/>
  <c r="D43" i="22"/>
  <c r="C43" i="22"/>
  <c r="B43" i="22"/>
  <c r="D27" i="22"/>
  <c r="G27" i="22"/>
  <c r="C27" i="22"/>
  <c r="F27" i="22"/>
  <c r="B27" i="22"/>
  <c r="E27" i="22"/>
  <c r="F34" i="22"/>
  <c r="B34" i="22"/>
  <c r="D34" i="22"/>
  <c r="E34" i="22"/>
  <c r="G34" i="22"/>
  <c r="C34" i="22"/>
  <c r="G10" i="22"/>
  <c r="B10" i="22"/>
  <c r="D10" i="22"/>
  <c r="H10" i="22"/>
  <c r="C10" i="22"/>
  <c r="F10" i="22"/>
  <c r="E83" i="11"/>
  <c r="G83" i="11"/>
  <c r="B83" i="11"/>
  <c r="D83" i="11"/>
  <c r="F83" i="11"/>
  <c r="C83" i="11"/>
  <c r="D55" i="11"/>
  <c r="C55" i="11"/>
  <c r="B55" i="11"/>
  <c r="I55" i="11"/>
  <c r="C73" i="11"/>
  <c r="B73" i="11"/>
  <c r="E73" i="11"/>
  <c r="D73" i="11"/>
  <c r="E64" i="11"/>
  <c r="D64" i="11"/>
  <c r="C64" i="11"/>
  <c r="B64" i="11"/>
  <c r="B46" i="11"/>
  <c r="C46" i="11"/>
  <c r="D46" i="11"/>
  <c r="C24" i="11"/>
  <c r="B24" i="11"/>
  <c r="D24" i="11"/>
  <c r="C7" i="11"/>
  <c r="B7" i="11"/>
  <c r="D7" i="11"/>
  <c r="B33" i="11"/>
  <c r="C33" i="11"/>
  <c r="D33" i="11"/>
  <c r="D56" i="20"/>
  <c r="F56" i="20"/>
  <c r="H56" i="20"/>
  <c r="B56" i="20"/>
  <c r="C56" i="20"/>
  <c r="E56" i="20"/>
  <c r="G56" i="20"/>
  <c r="I56" i="20"/>
  <c r="C44" i="20"/>
  <c r="E44" i="20"/>
  <c r="B44" i="20"/>
  <c r="D44" i="20"/>
  <c r="C29" i="20"/>
  <c r="F29" i="20"/>
  <c r="B29" i="20"/>
  <c r="E29" i="20"/>
  <c r="D29" i="20"/>
  <c r="B7" i="20"/>
  <c r="C7" i="20"/>
  <c r="D7" i="20"/>
  <c r="C14" i="20"/>
  <c r="B14" i="20"/>
  <c r="D14" i="20"/>
  <c r="G50" i="18"/>
  <c r="C50" i="18"/>
  <c r="D42" i="18"/>
  <c r="C42" i="18"/>
  <c r="B42" i="18"/>
  <c r="C19" i="18"/>
  <c r="F19" i="18" s="1"/>
  <c r="J19" i="18"/>
  <c r="M19" i="18" s="1"/>
  <c r="J30" i="18"/>
  <c r="M30" i="18" s="1"/>
  <c r="C30" i="18"/>
  <c r="F30" i="18" s="1"/>
  <c r="C8" i="18"/>
  <c r="F8" i="18" s="1"/>
  <c r="J8" i="18"/>
  <c r="M8" i="18" s="1"/>
  <c r="I61" i="15"/>
  <c r="E61" i="15"/>
  <c r="H61" i="15"/>
  <c r="G61" i="15"/>
  <c r="C61" i="15"/>
  <c r="D61" i="15"/>
  <c r="B61" i="15"/>
  <c r="F61" i="15"/>
  <c r="B6" i="15"/>
  <c r="C16" i="15"/>
  <c r="H89" i="13"/>
  <c r="H88" i="13"/>
  <c r="B16" i="15" l="1"/>
  <c r="E10" i="22"/>
  <c r="I10" i="22" s="1"/>
  <c r="E36" i="20"/>
  <c r="B36" i="20"/>
  <c r="F36" i="20"/>
  <c r="D36" i="20"/>
  <c r="C36" i="20"/>
  <c r="H91" i="13"/>
  <c r="B17" i="15" s="1"/>
  <c r="F48" i="18" l="1"/>
  <c r="AM48" i="42"/>
  <c r="AH48" i="42"/>
  <c r="AH49" i="42"/>
  <c r="AL48" i="42"/>
  <c r="AI48" i="42"/>
  <c r="AD48" i="42"/>
  <c r="Z48" i="42"/>
  <c r="AL49" i="42"/>
  <c r="AD49" i="42"/>
  <c r="AG48" i="42"/>
  <c r="AF48" i="42"/>
  <c r="AA48" i="42"/>
  <c r="Y48" i="42"/>
  <c r="AK48" i="42"/>
  <c r="AJ48" i="42"/>
  <c r="AE48" i="42"/>
  <c r="AC48" i="42"/>
  <c r="AB48" i="42"/>
  <c r="W48" i="42"/>
  <c r="X48" i="42"/>
  <c r="AN48" i="42"/>
  <c r="AO48" i="42"/>
  <c r="AF49" i="42"/>
  <c r="AN49" i="42"/>
  <c r="AP48" i="42" l="1"/>
  <c r="AP49" i="42"/>
  <c r="AC49" i="42"/>
  <c r="AK49" i="42"/>
  <c r="AG49" i="42"/>
  <c r="AO49" i="42"/>
  <c r="AM49" i="42"/>
  <c r="AE49" i="42"/>
  <c r="W49" i="42"/>
  <c r="Z49" i="42"/>
  <c r="AA49" i="42"/>
  <c r="AB49" i="42"/>
  <c r="Y49" i="42"/>
  <c r="X49" i="42"/>
  <c r="AI49" i="42"/>
  <c r="AJ49" i="42"/>
  <c r="BH71" i="42" l="1"/>
  <c r="AZ71" i="42"/>
  <c r="BH49" i="42"/>
  <c r="AR70" i="42"/>
  <c r="AZ70" i="42"/>
  <c r="BH70" i="42"/>
  <c r="BF71" i="42"/>
  <c r="AT70" i="42"/>
  <c r="BB70" i="42"/>
  <c r="BJ70" i="42"/>
  <c r="AX71" i="42"/>
  <c r="BE71" i="42"/>
  <c r="BJ71" i="42"/>
  <c r="BG70" i="42"/>
  <c r="BE70" i="42"/>
  <c r="BD70" i="42"/>
  <c r="AY70" i="42"/>
  <c r="AW70" i="42"/>
  <c r="AV70" i="42"/>
  <c r="AQ70" i="42"/>
  <c r="AS70" i="42"/>
  <c r="AU70" i="42"/>
  <c r="AX70" i="42"/>
  <c r="BA70" i="42"/>
  <c r="BC70" i="42"/>
  <c r="BF70" i="42"/>
  <c r="BI70" i="42"/>
  <c r="AW71" i="42"/>
  <c r="BB71" i="42"/>
  <c r="BG71" i="42" l="1"/>
  <c r="BG49" i="42"/>
  <c r="AY49" i="42"/>
  <c r="BB49" i="42"/>
  <c r="AR71" i="42"/>
  <c r="AY71" i="42"/>
  <c r="BI71" i="42"/>
  <c r="AQ71" i="42"/>
  <c r="AS71" i="42"/>
  <c r="BA71" i="42"/>
  <c r="AT71" i="42"/>
  <c r="AU71" i="42"/>
  <c r="BC71" i="42"/>
  <c r="AV71" i="42"/>
  <c r="BD71" i="42"/>
  <c r="BF49" i="42"/>
  <c r="AZ49" i="42"/>
  <c r="AR49" i="42"/>
  <c r="AQ49" i="42"/>
  <c r="AS49" i="42"/>
  <c r="BA49" i="42"/>
  <c r="BI49" i="42"/>
  <c r="BJ49" i="42"/>
  <c r="AV49" i="42"/>
  <c r="BD49" i="42"/>
  <c r="BE49" i="42"/>
  <c r="AT49" i="42"/>
  <c r="AW49" i="42"/>
  <c r="AU49" i="42"/>
  <c r="AX49" i="42"/>
  <c r="BC49" i="42"/>
  <c r="CT41" i="13" l="1"/>
  <c r="CT40" i="13"/>
  <c r="CX41" i="13"/>
  <c r="CH97" i="13" l="1"/>
  <c r="CQ97" i="13" l="1"/>
  <c r="CP97" i="13"/>
  <c r="CK97" i="13"/>
  <c r="CL97" i="13"/>
  <c r="CN97" i="13"/>
  <c r="CJ97" i="13"/>
  <c r="CM97" i="13"/>
  <c r="CI97" i="13"/>
  <c r="CO97" i="13"/>
  <c r="MW101" i="13" l="1"/>
  <c r="MY101" i="13" l="1"/>
  <c r="MX101" i="13"/>
  <c r="MW102" i="13"/>
  <c r="MZ101" i="13"/>
  <c r="NA101" i="13"/>
  <c r="MW97" i="13"/>
  <c r="MC100" i="13"/>
  <c r="MC97" i="13"/>
  <c r="LI100" i="13"/>
  <c r="LI97" i="13"/>
  <c r="MY102" i="13" l="1"/>
  <c r="MX102" i="13"/>
  <c r="MI100" i="13"/>
  <c r="MH100" i="13"/>
  <c r="MD100" i="13"/>
  <c r="MF100" i="13"/>
  <c r="ME100" i="13"/>
  <c r="MG100" i="13"/>
  <c r="LO100" i="13"/>
  <c r="LK100" i="13"/>
  <c r="LN100" i="13"/>
  <c r="LM100" i="13"/>
  <c r="LL100" i="13"/>
  <c r="MD101" i="13"/>
  <c r="MZ102" i="13"/>
  <c r="NA102" i="13"/>
  <c r="MA97" i="13"/>
  <c r="LW97" i="13"/>
  <c r="LR97" i="13"/>
  <c r="LM97" i="13"/>
  <c r="LN101" i="13"/>
  <c r="LZ97" i="13"/>
  <c r="LU97" i="13"/>
  <c r="LL97" i="13"/>
  <c r="LY97" i="13"/>
  <c r="LT97" i="13"/>
  <c r="LO97" i="13"/>
  <c r="LK97" i="13"/>
  <c r="LL101" i="13"/>
  <c r="LX97" i="13"/>
  <c r="LS97" i="13"/>
  <c r="LN97" i="13"/>
  <c r="LO101" i="13"/>
  <c r="LK101" i="13"/>
  <c r="LQ97" i="13"/>
  <c r="LM101" i="13"/>
  <c r="NC97" i="13"/>
  <c r="MY97" i="13"/>
  <c r="NB97" i="13"/>
  <c r="MX97" i="13"/>
  <c r="NA97" i="13"/>
  <c r="MZ97" i="13"/>
  <c r="MU97" i="13"/>
  <c r="MQ97" i="13"/>
  <c r="MM97" i="13"/>
  <c r="MI97" i="13"/>
  <c r="ME97" i="13"/>
  <c r="MT97" i="13"/>
  <c r="MP97" i="13"/>
  <c r="ML97" i="13"/>
  <c r="MH97" i="13"/>
  <c r="MD97" i="13"/>
  <c r="MS97" i="13"/>
  <c r="MK97" i="13"/>
  <c r="MR97" i="13"/>
  <c r="MJ97" i="13"/>
  <c r="MO97" i="13"/>
  <c r="MN97" i="13"/>
  <c r="MG97" i="13"/>
  <c r="MF97" i="13"/>
  <c r="ME101" i="13"/>
  <c r="MF101" i="13"/>
  <c r="MG101" i="13"/>
  <c r="MH101" i="13"/>
  <c r="MI101" i="13"/>
  <c r="CX30" i="13" l="1"/>
  <c r="CT30" i="13"/>
  <c r="CX7" i="13" l="1"/>
  <c r="DB18" i="13"/>
  <c r="CT19" i="13" s="1"/>
  <c r="DB7" i="13"/>
  <c r="CU19" i="13" s="1"/>
  <c r="CT7" i="13"/>
  <c r="CX18" i="13"/>
  <c r="CT18" i="13"/>
  <c r="OT97" i="13"/>
  <c r="PH97" i="13"/>
  <c r="KX97" i="13"/>
  <c r="JX100" i="13"/>
  <c r="KD97" i="13"/>
  <c r="JX97" i="13"/>
  <c r="JY97" i="13" s="1"/>
  <c r="JJ97" i="13"/>
  <c r="IP97" i="13"/>
  <c r="HV97" i="13"/>
  <c r="GZ97" i="13"/>
  <c r="HA101" i="13" s="1"/>
  <c r="GO97" i="13"/>
  <c r="FV97" i="13"/>
  <c r="EV97" i="13"/>
  <c r="EE97" i="13"/>
  <c r="BN97" i="13"/>
  <c r="BO97" i="13" s="1"/>
  <c r="AN97" i="13"/>
  <c r="B97" i="13"/>
  <c r="A59" i="18"/>
  <c r="BN100" i="13"/>
  <c r="B48" i="18"/>
  <c r="CT31" i="13"/>
  <c r="CX31" i="13"/>
  <c r="KX100" i="13"/>
  <c r="B6" i="18"/>
  <c r="JJ100" i="13"/>
  <c r="IP100" i="13"/>
  <c r="GZ100" i="13"/>
  <c r="GO100" i="13"/>
  <c r="FV100" i="13"/>
  <c r="EV100" i="13"/>
  <c r="EE100" i="13"/>
  <c r="B28" i="18"/>
  <c r="B15" i="20"/>
  <c r="D70" i="42"/>
  <c r="E70" i="42"/>
  <c r="F70" i="42"/>
  <c r="G70" i="42"/>
  <c r="H70" i="42"/>
  <c r="I70" i="42"/>
  <c r="J70" i="42"/>
  <c r="K70" i="42"/>
  <c r="L70" i="42"/>
  <c r="M70" i="42"/>
  <c r="N70" i="42"/>
  <c r="O70" i="42"/>
  <c r="P70" i="42"/>
  <c r="Q70" i="42"/>
  <c r="R70" i="42"/>
  <c r="S70" i="42"/>
  <c r="T70" i="42"/>
  <c r="U70" i="42"/>
  <c r="V70" i="42"/>
  <c r="W70" i="42"/>
  <c r="X70" i="42"/>
  <c r="Y70" i="42"/>
  <c r="Z70" i="42"/>
  <c r="AA70" i="42"/>
  <c r="AB70" i="42"/>
  <c r="AC70" i="42"/>
  <c r="AD70" i="42"/>
  <c r="AE70" i="42"/>
  <c r="AF70" i="42"/>
  <c r="AG70" i="42"/>
  <c r="AH70" i="42"/>
  <c r="AI70" i="42"/>
  <c r="AJ70" i="42"/>
  <c r="AK70" i="42"/>
  <c r="AL70" i="42"/>
  <c r="AM70" i="42"/>
  <c r="AN70" i="42"/>
  <c r="AO70" i="42"/>
  <c r="AP70" i="42"/>
  <c r="D71" i="42"/>
  <c r="E71" i="42"/>
  <c r="F71" i="42"/>
  <c r="G71" i="42"/>
  <c r="H71" i="42"/>
  <c r="I71" i="42"/>
  <c r="J71" i="42"/>
  <c r="K71" i="42"/>
  <c r="L71" i="42"/>
  <c r="M71" i="42"/>
  <c r="N71" i="42"/>
  <c r="O71" i="42"/>
  <c r="P71" i="42"/>
  <c r="Q71" i="42"/>
  <c r="R71" i="42"/>
  <c r="S71" i="42"/>
  <c r="T71" i="42"/>
  <c r="U71" i="42"/>
  <c r="V71" i="42"/>
  <c r="W71" i="42"/>
  <c r="X71" i="42"/>
  <c r="Y71" i="42"/>
  <c r="Z71" i="42"/>
  <c r="AA71" i="42"/>
  <c r="AB71" i="42"/>
  <c r="AC71" i="42"/>
  <c r="AD71" i="42"/>
  <c r="AE71" i="42"/>
  <c r="AF71" i="42"/>
  <c r="AG71" i="42"/>
  <c r="AH71" i="42"/>
  <c r="AI71" i="42"/>
  <c r="AJ71" i="42"/>
  <c r="AK71" i="42"/>
  <c r="AL71" i="42"/>
  <c r="AM71" i="42"/>
  <c r="AN71" i="42"/>
  <c r="AO71" i="42"/>
  <c r="AP71" i="42"/>
  <c r="C71" i="42"/>
  <c r="C70" i="42"/>
  <c r="D116" i="42"/>
  <c r="E116" i="42"/>
  <c r="F116" i="42"/>
  <c r="G116" i="42"/>
  <c r="H116" i="42"/>
  <c r="I116" i="42"/>
  <c r="J116" i="42"/>
  <c r="K116" i="42"/>
  <c r="L116" i="42"/>
  <c r="M116" i="42"/>
  <c r="N116" i="42"/>
  <c r="O116" i="42"/>
  <c r="P116" i="42"/>
  <c r="Q116" i="42"/>
  <c r="R116" i="42"/>
  <c r="S116" i="42"/>
  <c r="T116" i="42"/>
  <c r="U116" i="42"/>
  <c r="V116" i="42"/>
  <c r="W116" i="42"/>
  <c r="X116" i="42"/>
  <c r="Y116" i="42"/>
  <c r="Z116" i="42"/>
  <c r="AA116" i="42"/>
  <c r="AB116" i="42"/>
  <c r="AC116" i="42"/>
  <c r="AD116" i="42"/>
  <c r="AE116" i="42"/>
  <c r="AF116" i="42"/>
  <c r="AG116" i="42"/>
  <c r="AH116" i="42"/>
  <c r="AI116" i="42"/>
  <c r="AJ116" i="42"/>
  <c r="AK116" i="42"/>
  <c r="AL116" i="42"/>
  <c r="AM116" i="42"/>
  <c r="AN116" i="42"/>
  <c r="AO116" i="42"/>
  <c r="AP116" i="42"/>
  <c r="AQ116" i="42"/>
  <c r="AR116" i="42"/>
  <c r="AS116" i="42"/>
  <c r="AT116" i="42"/>
  <c r="AU116" i="42"/>
  <c r="AV116" i="42"/>
  <c r="AW116" i="42"/>
  <c r="AX116" i="42"/>
  <c r="AY116" i="42"/>
  <c r="AZ116" i="42"/>
  <c r="BA116" i="42"/>
  <c r="BB116" i="42"/>
  <c r="BC116" i="42"/>
  <c r="BD116" i="42"/>
  <c r="BE116" i="42"/>
  <c r="BF116" i="42"/>
  <c r="BG116" i="42"/>
  <c r="BH116" i="42"/>
  <c r="BI116" i="42"/>
  <c r="BJ116" i="42"/>
  <c r="D117" i="42"/>
  <c r="E117" i="42"/>
  <c r="F117" i="42"/>
  <c r="G117" i="42"/>
  <c r="H117" i="42"/>
  <c r="I117" i="42"/>
  <c r="J117" i="42"/>
  <c r="K117" i="42"/>
  <c r="L117" i="42"/>
  <c r="M117" i="42"/>
  <c r="N117" i="42"/>
  <c r="O117" i="42"/>
  <c r="P117" i="42"/>
  <c r="Q117" i="42"/>
  <c r="R117" i="42"/>
  <c r="S117" i="42"/>
  <c r="T117" i="42"/>
  <c r="U117" i="42"/>
  <c r="V117" i="42"/>
  <c r="W117" i="42"/>
  <c r="X117" i="42"/>
  <c r="Y117" i="42"/>
  <c r="Z117" i="42"/>
  <c r="AA117" i="42"/>
  <c r="AB117" i="42"/>
  <c r="AC117" i="42"/>
  <c r="AD117" i="42"/>
  <c r="AE117" i="42"/>
  <c r="AF117" i="42"/>
  <c r="AG117" i="42"/>
  <c r="AH117" i="42"/>
  <c r="AI117" i="42"/>
  <c r="AJ117" i="42"/>
  <c r="AK117" i="42"/>
  <c r="AL117" i="42"/>
  <c r="AM117" i="42"/>
  <c r="AN117" i="42"/>
  <c r="AO117" i="42"/>
  <c r="AP117" i="42"/>
  <c r="AQ117" i="42"/>
  <c r="AR117" i="42"/>
  <c r="AS117" i="42"/>
  <c r="AT117" i="42"/>
  <c r="AU117" i="42"/>
  <c r="AV117" i="42"/>
  <c r="AW117" i="42"/>
  <c r="AX117" i="42"/>
  <c r="AY117" i="42"/>
  <c r="AZ117" i="42"/>
  <c r="BA117" i="42"/>
  <c r="BB117" i="42"/>
  <c r="BC117" i="42"/>
  <c r="BD117" i="42"/>
  <c r="BE117" i="42"/>
  <c r="BF117" i="42"/>
  <c r="BG117" i="42"/>
  <c r="BH117" i="42"/>
  <c r="BI117" i="42"/>
  <c r="BJ117" i="42"/>
  <c r="C117" i="42"/>
  <c r="C116" i="42"/>
  <c r="AQ2" i="42"/>
  <c r="W2" i="42"/>
  <c r="C2" i="42"/>
  <c r="V49" i="42"/>
  <c r="U49" i="42"/>
  <c r="T49" i="42"/>
  <c r="S49" i="42"/>
  <c r="R49" i="42"/>
  <c r="Q49" i="42"/>
  <c r="P49" i="42"/>
  <c r="O49" i="42"/>
  <c r="N49" i="42"/>
  <c r="M49" i="42"/>
  <c r="L49" i="42"/>
  <c r="K49" i="42"/>
  <c r="J49" i="42"/>
  <c r="I49" i="42"/>
  <c r="H49" i="42"/>
  <c r="G49" i="42"/>
  <c r="F49" i="42"/>
  <c r="E49" i="42"/>
  <c r="D49" i="42"/>
  <c r="C49" i="42"/>
  <c r="V48" i="42"/>
  <c r="U48" i="42"/>
  <c r="T48" i="42"/>
  <c r="S48" i="42"/>
  <c r="R48" i="42"/>
  <c r="Q48" i="42"/>
  <c r="P48" i="42"/>
  <c r="O48" i="42"/>
  <c r="N48" i="42"/>
  <c r="M48" i="42"/>
  <c r="L48" i="42"/>
  <c r="K48" i="42"/>
  <c r="J48" i="42"/>
  <c r="I48" i="42"/>
  <c r="H48" i="42"/>
  <c r="G48" i="42"/>
  <c r="F48" i="42"/>
  <c r="E48" i="42"/>
  <c r="D48" i="42"/>
  <c r="C48" i="42"/>
  <c r="BJ48" i="42"/>
  <c r="BI48" i="42"/>
  <c r="BH48" i="42"/>
  <c r="BG48" i="42"/>
  <c r="BF48" i="42"/>
  <c r="BE48" i="42"/>
  <c r="BD48" i="42"/>
  <c r="BC48" i="42"/>
  <c r="BB48" i="42"/>
  <c r="BA48" i="42"/>
  <c r="AZ48" i="42"/>
  <c r="AY48" i="42"/>
  <c r="AX48" i="42"/>
  <c r="AW48" i="42"/>
  <c r="AV48" i="42"/>
  <c r="AU48" i="42"/>
  <c r="AT48" i="42"/>
  <c r="AS48" i="42"/>
  <c r="AR48" i="42"/>
  <c r="AQ48" i="42"/>
  <c r="L6" i="18"/>
  <c r="L17" i="18"/>
  <c r="L28" i="18"/>
  <c r="E28" i="18"/>
  <c r="E17" i="18"/>
  <c r="E6" i="18"/>
  <c r="I6" i="18"/>
  <c r="I17" i="18"/>
  <c r="I28" i="18"/>
  <c r="B17" i="18"/>
  <c r="C8" i="15"/>
  <c r="D8" i="15"/>
  <c r="B8" i="15"/>
  <c r="OX100" i="13" l="1"/>
  <c r="OU100" i="13"/>
  <c r="OW100" i="13"/>
  <c r="OV100" i="13"/>
  <c r="AV100" i="13"/>
  <c r="AS100" i="13"/>
  <c r="AU100" i="13"/>
  <c r="AR100" i="13"/>
  <c r="AP100" i="13"/>
  <c r="AO100" i="13"/>
  <c r="AQ100" i="13"/>
  <c r="AT100" i="13"/>
  <c r="LA100" i="13"/>
  <c r="KZ100" i="13"/>
  <c r="KY100" i="13"/>
  <c r="JN100" i="13"/>
  <c r="JM100" i="13"/>
  <c r="JL100" i="13"/>
  <c r="JK100" i="13"/>
  <c r="IU100" i="13"/>
  <c r="IQ100" i="13"/>
  <c r="IR100" i="13"/>
  <c r="IT100" i="13"/>
  <c r="IS100" i="13"/>
  <c r="HA100" i="13"/>
  <c r="HC100" i="13"/>
  <c r="HB100" i="13"/>
  <c r="FZ100" i="13"/>
  <c r="FW100" i="13"/>
  <c r="FY100" i="13"/>
  <c r="FX100" i="13"/>
  <c r="GR100" i="13"/>
  <c r="GQ100" i="13"/>
  <c r="GP100" i="13"/>
  <c r="EZ100" i="13"/>
  <c r="EX100" i="13"/>
  <c r="EW100" i="13"/>
  <c r="EY100" i="13"/>
  <c r="EJ100" i="13"/>
  <c r="EF100" i="13"/>
  <c r="EI100" i="13"/>
  <c r="EG100" i="13"/>
  <c r="EH100" i="13"/>
  <c r="BT100" i="13"/>
  <c r="BP100" i="13"/>
  <c r="BS100" i="13"/>
  <c r="BO100" i="13"/>
  <c r="BR100" i="13"/>
  <c r="BQ100" i="13"/>
  <c r="KH101" i="13"/>
  <c r="KG101" i="13"/>
  <c r="KJ101" i="13"/>
  <c r="KF101" i="13"/>
  <c r="KI101" i="13"/>
  <c r="KE101" i="13"/>
  <c r="PI100" i="13"/>
  <c r="PK101" i="13"/>
  <c r="PL100" i="13"/>
  <c r="PJ100" i="13"/>
  <c r="PI101" i="13"/>
  <c r="PK100" i="13"/>
  <c r="PL101" i="13"/>
  <c r="PJ101" i="13"/>
  <c r="OX101" i="13"/>
  <c r="OU101" i="13"/>
  <c r="OV101" i="13"/>
  <c r="OW101" i="13"/>
  <c r="LA101" i="13"/>
  <c r="KZ101" i="13"/>
  <c r="KY101" i="13"/>
  <c r="KI97" i="13"/>
  <c r="KE97" i="13"/>
  <c r="KM97" i="13"/>
  <c r="KG97" i="13"/>
  <c r="KO97" i="13"/>
  <c r="KJ97" i="13"/>
  <c r="KN97" i="13"/>
  <c r="KH97" i="13"/>
  <c r="KP97" i="13"/>
  <c r="KL97" i="13"/>
  <c r="KF97" i="13"/>
  <c r="JX101" i="13"/>
  <c r="KA100" i="13"/>
  <c r="JZ100" i="13"/>
  <c r="JY100" i="13"/>
  <c r="KB100" i="13"/>
  <c r="EX101" i="13"/>
  <c r="EZ101" i="13"/>
  <c r="EW101" i="13"/>
  <c r="EY101" i="13"/>
  <c r="IU101" i="13"/>
  <c r="IR101" i="13"/>
  <c r="IS101" i="13"/>
  <c r="IT101" i="13"/>
  <c r="IQ101" i="13"/>
  <c r="GP101" i="13"/>
  <c r="GQ101" i="13"/>
  <c r="GR101" i="13"/>
  <c r="JN101" i="13"/>
  <c r="JM101" i="13"/>
  <c r="JL101" i="13"/>
  <c r="JK101" i="13"/>
  <c r="FY101" i="13"/>
  <c r="FX101" i="13"/>
  <c r="FW101" i="13"/>
  <c r="FZ101" i="13"/>
  <c r="EI101" i="13"/>
  <c r="EH101" i="13"/>
  <c r="EG101" i="13"/>
  <c r="EJ101" i="13"/>
  <c r="EF101" i="13"/>
  <c r="F51" i="18"/>
  <c r="F49" i="18"/>
  <c r="F50" i="18"/>
  <c r="B49" i="18"/>
  <c r="B50" i="18"/>
  <c r="B51" i="18"/>
  <c r="AV101" i="13"/>
  <c r="AR101" i="13"/>
  <c r="AU101" i="13"/>
  <c r="AQ101" i="13"/>
  <c r="AT101" i="13"/>
  <c r="AP101" i="13"/>
  <c r="AS101" i="13"/>
  <c r="AO101" i="13"/>
  <c r="I18" i="18"/>
  <c r="L18" i="18" s="1"/>
  <c r="I29" i="18"/>
  <c r="L29" i="18" s="1"/>
  <c r="B29" i="18"/>
  <c r="E29" i="18" s="1"/>
  <c r="I30" i="18"/>
  <c r="L30" i="18" s="1"/>
  <c r="I19" i="18"/>
  <c r="L19" i="18" s="1"/>
  <c r="B30" i="18"/>
  <c r="E30" i="18" s="1"/>
  <c r="B31" i="18"/>
  <c r="E31" i="18" s="1"/>
  <c r="I20" i="18"/>
  <c r="L20" i="18" s="1"/>
  <c r="I31" i="18"/>
  <c r="L31" i="18" s="1"/>
  <c r="B19" i="18"/>
  <c r="E19" i="18" s="1"/>
  <c r="B20" i="18"/>
  <c r="E20" i="18" s="1"/>
  <c r="B18" i="18"/>
  <c r="E18" i="18" s="1"/>
  <c r="I8" i="18"/>
  <c r="L8" i="18" s="1"/>
  <c r="B8" i="18"/>
  <c r="E8" i="18" s="1"/>
  <c r="I7" i="18"/>
  <c r="L7" i="18" s="1"/>
  <c r="B7" i="18"/>
  <c r="E7" i="18" s="1"/>
  <c r="I9" i="18"/>
  <c r="L9" i="18" s="1"/>
  <c r="B9" i="18"/>
  <c r="E9" i="18" s="1"/>
  <c r="PM97" i="13"/>
  <c r="PI97" i="13"/>
  <c r="PP97" i="13"/>
  <c r="PL97" i="13"/>
  <c r="PN97" i="13"/>
  <c r="PO97" i="13"/>
  <c r="PK97" i="13"/>
  <c r="PJ97" i="13"/>
  <c r="PA97" i="13"/>
  <c r="OW97" i="13"/>
  <c r="OZ97" i="13"/>
  <c r="OV97" i="13"/>
  <c r="OU97" i="13"/>
  <c r="OX97" i="13"/>
  <c r="PB97" i="13"/>
  <c r="OY97" i="13"/>
  <c r="PF97" i="13"/>
  <c r="PC97" i="13"/>
  <c r="PD97" i="13"/>
  <c r="PE97" i="13"/>
  <c r="KK97" i="13"/>
  <c r="KR97" i="13"/>
  <c r="KS97" i="13"/>
  <c r="KV97" i="13"/>
  <c r="KQ97" i="13"/>
  <c r="KU97" i="13"/>
  <c r="KT97" i="13"/>
  <c r="LG97" i="13"/>
  <c r="LC97" i="13"/>
  <c r="KY97" i="13"/>
  <c r="LF97" i="13"/>
  <c r="LB97" i="13"/>
  <c r="LE97" i="13"/>
  <c r="LA97" i="13"/>
  <c r="LD97" i="13"/>
  <c r="KZ97" i="13"/>
  <c r="KB97" i="13"/>
  <c r="KA97" i="13"/>
  <c r="JZ97" i="13"/>
  <c r="HW97" i="13"/>
  <c r="HY97" i="13"/>
  <c r="HX97" i="13"/>
  <c r="IG97" i="13"/>
  <c r="IF97" i="13"/>
  <c r="IA97" i="13"/>
  <c r="IC97" i="13"/>
  <c r="HZ97" i="13"/>
  <c r="IE97" i="13"/>
  <c r="ID97" i="13"/>
  <c r="IB97" i="13"/>
  <c r="IH97" i="13"/>
  <c r="JG97" i="13"/>
  <c r="JE97" i="13"/>
  <c r="IZ97" i="13"/>
  <c r="IX97" i="13"/>
  <c r="IR97" i="13"/>
  <c r="JC97" i="13"/>
  <c r="IW97" i="13"/>
  <c r="IT97" i="13"/>
  <c r="JD97" i="13"/>
  <c r="JA97" i="13"/>
  <c r="IU97" i="13"/>
  <c r="IQ97" i="13"/>
  <c r="JF97" i="13"/>
  <c r="IY97" i="13"/>
  <c r="IS97" i="13"/>
  <c r="JS97" i="13"/>
  <c r="JO97" i="13"/>
  <c r="JK97" i="13"/>
  <c r="JT97" i="13"/>
  <c r="JP97" i="13"/>
  <c r="JL97" i="13"/>
  <c r="JU97" i="13"/>
  <c r="JM97" i="13"/>
  <c r="JR97" i="13"/>
  <c r="JQ97" i="13"/>
  <c r="JV97" i="13"/>
  <c r="JN97" i="13"/>
  <c r="GU97" i="13"/>
  <c r="GQ97" i="13"/>
  <c r="GX97" i="13"/>
  <c r="GT97" i="13"/>
  <c r="GP97" i="13"/>
  <c r="GW97" i="13"/>
  <c r="GV97" i="13"/>
  <c r="GS97" i="13"/>
  <c r="GR97" i="13"/>
  <c r="HI97" i="13"/>
  <c r="HE97" i="13"/>
  <c r="HA97" i="13"/>
  <c r="HH97" i="13"/>
  <c r="HD97" i="13"/>
  <c r="HG97" i="13"/>
  <c r="HF97" i="13"/>
  <c r="HC97" i="13"/>
  <c r="HB97" i="13"/>
  <c r="GH97" i="13"/>
  <c r="GD97" i="13"/>
  <c r="FZ97" i="13"/>
  <c r="GB97" i="13"/>
  <c r="GG97" i="13"/>
  <c r="GC97" i="13"/>
  <c r="FY97" i="13"/>
  <c r="GF97" i="13"/>
  <c r="FX97" i="13"/>
  <c r="GE97" i="13"/>
  <c r="GA97" i="13"/>
  <c r="FW97" i="13"/>
  <c r="EW97" i="13"/>
  <c r="EX97" i="13"/>
  <c r="FB97" i="13"/>
  <c r="EZ97" i="13"/>
  <c r="FD97" i="13"/>
  <c r="FH97" i="13"/>
  <c r="FC97" i="13"/>
  <c r="FA97" i="13"/>
  <c r="FE97" i="13"/>
  <c r="FF97" i="13"/>
  <c r="FG97" i="13"/>
  <c r="EY97" i="13"/>
  <c r="EQ97" i="13"/>
  <c r="EM97" i="13"/>
  <c r="ER97" i="13"/>
  <c r="EN97" i="13"/>
  <c r="EO97" i="13"/>
  <c r="EK97" i="13"/>
  <c r="ET97" i="13"/>
  <c r="EL97" i="13"/>
  <c r="ES97" i="13"/>
  <c r="EP97" i="13"/>
  <c r="EJ97" i="13"/>
  <c r="EH97" i="13"/>
  <c r="EG97" i="13"/>
  <c r="EI97" i="13"/>
  <c r="EF97" i="13"/>
  <c r="BS97" i="13"/>
  <c r="CB97" i="13"/>
  <c r="BT97" i="13"/>
  <c r="CD97" i="13"/>
  <c r="CF97" i="13"/>
  <c r="CA97" i="13"/>
  <c r="CC97" i="13"/>
  <c r="BU97" i="13"/>
  <c r="BR97" i="13"/>
  <c r="BY97" i="13"/>
  <c r="BX97" i="13"/>
  <c r="BV97" i="13"/>
  <c r="BQ97" i="13"/>
  <c r="BW97" i="13"/>
  <c r="BZ97" i="13"/>
  <c r="CE97" i="13"/>
  <c r="BP97" i="13"/>
  <c r="AS97" i="13"/>
  <c r="BE97" i="13"/>
  <c r="AX97" i="13"/>
  <c r="AO97" i="13"/>
  <c r="AT97" i="13"/>
  <c r="BA97" i="13"/>
  <c r="BK97" i="13"/>
  <c r="BC97" i="13"/>
  <c r="BJ97" i="13"/>
  <c r="BI97" i="13"/>
  <c r="AQ97" i="13"/>
  <c r="AY97" i="13"/>
  <c r="BB97" i="13"/>
  <c r="AU97" i="13"/>
  <c r="BL97" i="13"/>
  <c r="AR97" i="13"/>
  <c r="BH97" i="13"/>
  <c r="AP97" i="13"/>
  <c r="BG97" i="13"/>
  <c r="BD97" i="13"/>
  <c r="AW97" i="13"/>
  <c r="BF97" i="13"/>
  <c r="AV97" i="13"/>
  <c r="AZ97" i="13"/>
  <c r="E97" i="13"/>
  <c r="D97" i="13"/>
  <c r="C97" i="13"/>
  <c r="G33" i="15"/>
  <c r="F33" i="15"/>
  <c r="J33" i="15"/>
  <c r="D33" i="15"/>
  <c r="C33" i="15"/>
  <c r="H33" i="15"/>
  <c r="E33" i="15"/>
  <c r="DD18" i="13"/>
  <c r="CZ19" i="13" s="1"/>
  <c r="CZ41" i="13"/>
  <c r="CZ42" i="13" s="1"/>
  <c r="CV41" i="13"/>
  <c r="B31" i="37"/>
  <c r="C31" i="37"/>
  <c r="D31" i="37"/>
  <c r="E31" i="37"/>
  <c r="E34" i="11"/>
  <c r="D7" i="15"/>
  <c r="HB101" i="13"/>
  <c r="HC101" i="13"/>
  <c r="BR101" i="13"/>
  <c r="BT101" i="13"/>
  <c r="F34" i="11"/>
  <c r="F25" i="11"/>
  <c r="BS101" i="13"/>
  <c r="BO101" i="13"/>
  <c r="BP101" i="13"/>
  <c r="BQ101" i="13"/>
  <c r="DC8" i="13"/>
  <c r="CX19" i="13"/>
  <c r="G100" i="11"/>
  <c r="DB19" i="13"/>
  <c r="G25" i="11"/>
  <c r="G34" i="11"/>
  <c r="CY8" i="13"/>
  <c r="CX8" i="13"/>
  <c r="CY31" i="13"/>
  <c r="CY42" i="13"/>
  <c r="CU42" i="13"/>
  <c r="E43" i="18"/>
  <c r="CY19" i="13"/>
  <c r="CU31" i="13"/>
  <c r="I74" i="11"/>
  <c r="DB8" i="13"/>
  <c r="DC19" i="13"/>
  <c r="CT8" i="13"/>
  <c r="CU8" i="13"/>
  <c r="CV7" i="13"/>
  <c r="H59" i="18"/>
  <c r="CZ7" i="13"/>
  <c r="DD7" i="13"/>
  <c r="DA31" i="13" s="1"/>
  <c r="E42" i="22"/>
  <c r="F42" i="22"/>
  <c r="G43" i="18"/>
  <c r="F43" i="18"/>
  <c r="CX42" i="13"/>
  <c r="CT42" i="13"/>
  <c r="I67" i="15"/>
  <c r="F67" i="15"/>
  <c r="H67" i="15"/>
  <c r="G67" i="15"/>
  <c r="E67" i="15"/>
  <c r="C67" i="15"/>
  <c r="D67" i="15"/>
  <c r="CV18" i="13"/>
  <c r="CZ18" i="13"/>
  <c r="G55" i="20"/>
  <c r="CZ30" i="13"/>
  <c r="CV30" i="13"/>
  <c r="G69" i="15"/>
  <c r="E69" i="15"/>
  <c r="C22" i="20"/>
  <c r="B22" i="20"/>
  <c r="E25" i="11"/>
  <c r="D91" i="11"/>
  <c r="E100" i="11"/>
  <c r="F100" i="11"/>
  <c r="B91" i="11"/>
  <c r="G91" i="11"/>
  <c r="E91" i="11"/>
  <c r="C91" i="11"/>
  <c r="F91" i="11"/>
  <c r="D22" i="20"/>
  <c r="H69" i="15"/>
  <c r="B69" i="15"/>
  <c r="I69" i="15"/>
  <c r="D69" i="15"/>
  <c r="C69" i="15"/>
  <c r="F69" i="15"/>
  <c r="KE100" i="13" l="1"/>
  <c r="KJ100" i="13"/>
  <c r="KH100" i="13"/>
  <c r="KG100" i="13"/>
  <c r="KF100" i="13"/>
  <c r="KI100" i="13"/>
  <c r="JZ101" i="13"/>
  <c r="JY101" i="13"/>
  <c r="KB101" i="13"/>
  <c r="KA101" i="13"/>
  <c r="F65" i="11"/>
  <c r="F63" i="11"/>
  <c r="K31" i="18"/>
  <c r="D20" i="18"/>
  <c r="K9" i="18"/>
  <c r="D34" i="15"/>
  <c r="B34" i="15"/>
  <c r="G34" i="15"/>
  <c r="E34" i="15"/>
  <c r="F34" i="15"/>
  <c r="C34" i="15"/>
  <c r="J34" i="15"/>
  <c r="H34" i="15"/>
  <c r="D7" i="18"/>
  <c r="D30" i="18"/>
  <c r="K19" i="18"/>
  <c r="D9" i="18"/>
  <c r="D31" i="18"/>
  <c r="K29" i="18"/>
  <c r="K18" i="18"/>
  <c r="K30" i="18"/>
  <c r="D29" i="18"/>
  <c r="D8" i="18"/>
  <c r="D18" i="18"/>
  <c r="K8" i="18"/>
  <c r="K7" i="18"/>
  <c r="D19" i="18"/>
  <c r="K20" i="18"/>
  <c r="DD19" i="13"/>
  <c r="CV19" i="13"/>
  <c r="B29" i="37"/>
  <c r="D30" i="37"/>
  <c r="E30" i="37"/>
  <c r="C29" i="37"/>
  <c r="B30" i="37"/>
  <c r="D29" i="37"/>
  <c r="C30" i="37"/>
  <c r="E29" i="37"/>
  <c r="B7" i="15"/>
  <c r="C7" i="15"/>
  <c r="CV42" i="13"/>
  <c r="F56" i="11"/>
  <c r="A38" i="22"/>
  <c r="C35" i="20"/>
  <c r="D35" i="20"/>
  <c r="F35" i="20"/>
  <c r="G41" i="18"/>
  <c r="E35" i="20"/>
  <c r="G56" i="11"/>
  <c r="B35" i="20"/>
  <c r="E56" i="11"/>
  <c r="E41" i="18"/>
  <c r="F41" i="18"/>
  <c r="F74" i="11"/>
  <c r="DE8" i="13"/>
  <c r="DE19" i="13"/>
  <c r="DA8" i="13"/>
  <c r="CW19" i="13"/>
  <c r="C90" i="11"/>
  <c r="B20" i="20"/>
  <c r="I53" i="22"/>
  <c r="J53" i="22"/>
  <c r="K53" i="22"/>
  <c r="G53" i="22"/>
  <c r="H53" i="22"/>
  <c r="E44" i="22"/>
  <c r="D21" i="20"/>
  <c r="CW8" i="13"/>
  <c r="DA42" i="13"/>
  <c r="D20" i="20"/>
  <c r="G72" i="11"/>
  <c r="H65" i="22"/>
  <c r="F65" i="22"/>
  <c r="G65" i="22"/>
  <c r="I65" i="22"/>
  <c r="B90" i="11"/>
  <c r="F44" i="22"/>
  <c r="CZ8" i="13"/>
  <c r="D90" i="11"/>
  <c r="G90" i="11"/>
  <c r="I68" i="15"/>
  <c r="G74" i="11"/>
  <c r="H74" i="11"/>
  <c r="F90" i="11"/>
  <c r="E9" i="22"/>
  <c r="I9" i="22" s="1"/>
  <c r="B17" i="22" s="1"/>
  <c r="E90" i="11"/>
  <c r="E55" i="11"/>
  <c r="F54" i="11"/>
  <c r="G24" i="11"/>
  <c r="G73" i="11"/>
  <c r="H68" i="15"/>
  <c r="F99" i="11"/>
  <c r="H72" i="11"/>
  <c r="G33" i="11"/>
  <c r="F98" i="11"/>
  <c r="G55" i="11"/>
  <c r="I73" i="11"/>
  <c r="E33" i="11"/>
  <c r="E54" i="11"/>
  <c r="B89" i="11"/>
  <c r="E24" i="11"/>
  <c r="F73" i="11"/>
  <c r="D68" i="15"/>
  <c r="B68" i="15"/>
  <c r="I72" i="11"/>
  <c r="G98" i="11"/>
  <c r="H73" i="11"/>
  <c r="F68" i="15"/>
  <c r="E99" i="11"/>
  <c r="E23" i="11"/>
  <c r="G32" i="11"/>
  <c r="CV8" i="13"/>
  <c r="CW42" i="13"/>
  <c r="DA19" i="13"/>
  <c r="CW31" i="13"/>
  <c r="DD8" i="13"/>
  <c r="C68" i="15"/>
  <c r="E68" i="15"/>
  <c r="G68" i="15"/>
  <c r="E98" i="11"/>
  <c r="C89" i="11"/>
  <c r="G99" i="11"/>
  <c r="I63" i="22"/>
  <c r="H63" i="22"/>
  <c r="G63" i="22"/>
  <c r="F19" i="22"/>
  <c r="F63" i="22"/>
  <c r="I64" i="22"/>
  <c r="H64" i="22"/>
  <c r="F64" i="22"/>
  <c r="G64" i="22"/>
  <c r="F89" i="11"/>
  <c r="G54" i="11"/>
  <c r="CZ31" i="13"/>
  <c r="CV31" i="13"/>
  <c r="E32" i="11"/>
  <c r="C21" i="20"/>
  <c r="E89" i="11"/>
  <c r="D89" i="11"/>
  <c r="G89" i="11"/>
  <c r="F72" i="11"/>
  <c r="F33" i="11"/>
  <c r="C20" i="20"/>
  <c r="G23" i="11"/>
  <c r="F23" i="11"/>
  <c r="F24" i="11"/>
  <c r="F32" i="11"/>
  <c r="B21" i="20"/>
  <c r="F55" i="11"/>
  <c r="CT48" i="13" l="1"/>
  <c r="I65" i="11"/>
  <c r="I64" i="11"/>
  <c r="H65" i="11"/>
  <c r="H64" i="11"/>
  <c r="F64" i="11"/>
  <c r="G64" i="11"/>
  <c r="G65" i="11"/>
  <c r="G63" i="11"/>
  <c r="H63" i="11"/>
  <c r="I63" i="11"/>
  <c r="E42" i="18"/>
  <c r="F42" i="18"/>
  <c r="G42" i="18"/>
  <c r="A32" i="20"/>
  <c r="CY46" i="13"/>
  <c r="CY49" i="13"/>
  <c r="CY47" i="13"/>
  <c r="DC26" i="13"/>
  <c r="CY45" i="13"/>
  <c r="DC21" i="13"/>
  <c r="CY44" i="13"/>
  <c r="DC22" i="13"/>
  <c r="CY48" i="13"/>
  <c r="I55" i="22"/>
  <c r="J55" i="22"/>
  <c r="H55" i="22"/>
  <c r="G55" i="22"/>
  <c r="K55" i="22"/>
  <c r="DC23" i="13"/>
  <c r="DC24" i="13"/>
  <c r="DC25" i="13"/>
  <c r="CT23" i="13"/>
  <c r="CT22" i="13"/>
  <c r="CY26" i="13"/>
  <c r="CU21" i="13"/>
  <c r="CU25" i="13"/>
  <c r="CY24" i="13"/>
  <c r="CT26" i="13"/>
  <c r="CT24" i="13"/>
  <c r="CT25" i="13"/>
  <c r="CY21" i="13"/>
  <c r="CY22" i="13"/>
  <c r="CT21" i="13"/>
  <c r="CU49" i="13"/>
  <c r="E17" i="22"/>
  <c r="CU48" i="13"/>
  <c r="CU23" i="13"/>
  <c r="E18" i="22"/>
  <c r="F17" i="22"/>
  <c r="C17" i="22"/>
  <c r="H17" i="22"/>
  <c r="CY23" i="13"/>
  <c r="CU46" i="13"/>
  <c r="CU45" i="13"/>
  <c r="CU24" i="13"/>
  <c r="CU44" i="13"/>
  <c r="CY25" i="13"/>
  <c r="G17" i="22"/>
  <c r="CX48" i="13"/>
  <c r="CU47" i="13"/>
  <c r="D17" i="22"/>
  <c r="CX25" i="13"/>
  <c r="CX24" i="13"/>
  <c r="CU26" i="13"/>
  <c r="CX22" i="13"/>
  <c r="CX21" i="13"/>
  <c r="CX26" i="13"/>
  <c r="CX47" i="13"/>
  <c r="CX45" i="13"/>
  <c r="CX46" i="13"/>
  <c r="CX49" i="13"/>
  <c r="CX44" i="13"/>
  <c r="DB26" i="13"/>
  <c r="DB23" i="13"/>
  <c r="DB25" i="13"/>
  <c r="DB21" i="13"/>
  <c r="DB24" i="13"/>
  <c r="CU22" i="13"/>
  <c r="CX23" i="13"/>
  <c r="D19" i="22"/>
  <c r="C19" i="22"/>
  <c r="H19" i="22"/>
  <c r="DB22" i="13"/>
  <c r="K54" i="22"/>
  <c r="I54" i="22"/>
  <c r="H54" i="22"/>
  <c r="J54" i="22"/>
  <c r="G54" i="22"/>
  <c r="B19" i="22"/>
  <c r="E19" i="22"/>
  <c r="G19" i="22"/>
  <c r="F43" i="22"/>
  <c r="E43" i="22"/>
  <c r="CT49" i="13" l="1"/>
  <c r="CT44" i="13"/>
  <c r="CT46" i="13"/>
  <c r="CT45" i="13"/>
  <c r="CT47" i="13"/>
  <c r="CW46" i="13"/>
  <c r="CW44" i="13"/>
  <c r="CW48" i="13"/>
  <c r="CW45" i="13"/>
  <c r="CW47" i="13"/>
  <c r="CW49" i="13"/>
  <c r="DE21" i="13"/>
  <c r="DA46" i="13"/>
  <c r="DE23" i="13"/>
  <c r="DA47" i="13"/>
  <c r="DA48" i="13"/>
  <c r="DE25" i="13"/>
  <c r="DE26" i="13"/>
  <c r="DE22" i="13"/>
  <c r="DA45" i="13"/>
  <c r="DE24" i="13"/>
  <c r="DA44" i="13"/>
  <c r="DA49" i="13"/>
  <c r="CW23" i="13"/>
  <c r="CW22" i="13"/>
  <c r="CW25" i="13"/>
  <c r="CW26" i="13"/>
  <c r="CW24" i="13"/>
  <c r="CW21" i="13"/>
  <c r="DA26" i="13"/>
  <c r="DA24" i="13"/>
  <c r="DA23" i="13"/>
  <c r="DA25" i="13"/>
  <c r="DA21" i="13"/>
  <c r="DA22" i="13"/>
  <c r="CZ21" i="13"/>
  <c r="CZ25" i="13"/>
  <c r="CV44" i="13"/>
  <c r="CV45" i="13"/>
  <c r="CV47" i="13"/>
  <c r="CV46" i="13"/>
  <c r="CV49" i="13"/>
  <c r="CZ22" i="13"/>
  <c r="CZ23" i="13"/>
  <c r="CZ24" i="13"/>
  <c r="CV48" i="13"/>
  <c r="CZ26" i="13"/>
  <c r="B18" i="22"/>
  <c r="D18" i="22"/>
  <c r="C18" i="22"/>
  <c r="H18" i="22"/>
  <c r="CZ47" i="13"/>
  <c r="G18" i="22"/>
  <c r="DD23" i="13"/>
  <c r="DD25" i="13"/>
  <c r="DD24" i="13"/>
  <c r="CV26" i="13"/>
  <c r="CZ49" i="13"/>
  <c r="CZ48" i="13"/>
  <c r="CZ45" i="13"/>
  <c r="CV23" i="13"/>
  <c r="CV22" i="13"/>
  <c r="CV25" i="13"/>
  <c r="DD26" i="13"/>
  <c r="CV24" i="13"/>
  <c r="CV21" i="13"/>
  <c r="DD21" i="13"/>
  <c r="CZ44" i="13"/>
  <c r="DD22" i="13"/>
  <c r="CZ46" i="13"/>
  <c r="F18" i="22"/>
</calcChain>
</file>

<file path=xl/sharedStrings.xml><?xml version="1.0" encoding="utf-8"?>
<sst xmlns="http://schemas.openxmlformats.org/spreadsheetml/2006/main" count="4919" uniqueCount="1009">
  <si>
    <t>Tours</t>
  </si>
  <si>
    <t>Chambray-lès-Tours</t>
  </si>
  <si>
    <t>La Riche</t>
  </si>
  <si>
    <t>Saint-Avertin</t>
  </si>
  <si>
    <t>Saint-Cyr-sur-Loire</t>
  </si>
  <si>
    <t>Saint-Pierre-des-Corps</t>
  </si>
  <si>
    <t>Fondettes</t>
  </si>
  <si>
    <t>La Membrolle-sur-Choisille</t>
  </si>
  <si>
    <t>Luynes</t>
  </si>
  <si>
    <t>Mettray</t>
  </si>
  <si>
    <t>Notre-Dame-d'Oé</t>
  </si>
  <si>
    <t>Saint-Étienne-de-Chigny</t>
  </si>
  <si>
    <t>Saint-Genouph</t>
  </si>
  <si>
    <t>Ballan-Miré</t>
  </si>
  <si>
    <t>Berthenay</t>
  </si>
  <si>
    <t>Druye</t>
  </si>
  <si>
    <t>Savonnières</t>
  </si>
  <si>
    <t>Villandry</t>
  </si>
  <si>
    <t>Azay-sur-Cher</t>
  </si>
  <si>
    <t>La Ville-aux-Dames</t>
  </si>
  <si>
    <t>Larçay</t>
  </si>
  <si>
    <t>Montlouis-sur-Loire</t>
  </si>
  <si>
    <t>Véretz</t>
  </si>
  <si>
    <t>Artannes-sur-Indre</t>
  </si>
  <si>
    <t>Esvres</t>
  </si>
  <si>
    <t>Montbazon</t>
  </si>
  <si>
    <t>Monts</t>
  </si>
  <si>
    <t>Saint-Branchs</t>
  </si>
  <si>
    <t>Sorigny</t>
  </si>
  <si>
    <t>Truyes</t>
  </si>
  <si>
    <t>Veigné</t>
  </si>
  <si>
    <t>Chanceaux-sur-Choisille</t>
  </si>
  <si>
    <t>Parçay-Meslay</t>
  </si>
  <si>
    <t>Rochecorbon</t>
  </si>
  <si>
    <t>Chançay</t>
  </si>
  <si>
    <t>Monnaie</t>
  </si>
  <si>
    <t>Reugny</t>
  </si>
  <si>
    <t>Vernou-sur-Brenne</t>
  </si>
  <si>
    <t>Vouvray</t>
  </si>
  <si>
    <t>Collectif</t>
  </si>
  <si>
    <t>Appartements</t>
  </si>
  <si>
    <t>Résidences principales</t>
  </si>
  <si>
    <t>Propriétaire</t>
  </si>
  <si>
    <t>Locataire HLM</t>
  </si>
  <si>
    <t>Logé gratuitement</t>
  </si>
  <si>
    <t>Locataire privé</t>
  </si>
  <si>
    <t>Individuel</t>
  </si>
  <si>
    <t>Depuis moins de 2 ans</t>
  </si>
  <si>
    <t>De 2 à 4 ans</t>
  </si>
  <si>
    <t>De 5 à 9 ans</t>
  </si>
  <si>
    <t>Parc de logements</t>
  </si>
  <si>
    <t>Parc des résidences principales</t>
  </si>
  <si>
    <t>Maisons</t>
  </si>
  <si>
    <t>Moins de 20 ans</t>
  </si>
  <si>
    <t>20 - 64 ans</t>
  </si>
  <si>
    <t>Plus de 65 ans</t>
  </si>
  <si>
    <t>Aucun enfant</t>
  </si>
  <si>
    <t>1 enfant</t>
  </si>
  <si>
    <t>2 enfants</t>
  </si>
  <si>
    <t>3 enfants ou plus</t>
  </si>
  <si>
    <t>Couples avec enfant(s)</t>
  </si>
  <si>
    <t>Familles monoparentales</t>
  </si>
  <si>
    <t>Population des ménages</t>
  </si>
  <si>
    <t>Ménages d'une personne</t>
  </si>
  <si>
    <t>Autres ménages sans famille</t>
  </si>
  <si>
    <t>Ménages</t>
  </si>
  <si>
    <t>Salariés</t>
  </si>
  <si>
    <t>Non salariés</t>
  </si>
  <si>
    <t>Indépendants</t>
  </si>
  <si>
    <t>Employeurs</t>
  </si>
  <si>
    <t>Aides familiaux</t>
  </si>
  <si>
    <t>Contrats à durée déterminée</t>
  </si>
  <si>
    <t>Intérim</t>
  </si>
  <si>
    <t>Emplois aidés</t>
  </si>
  <si>
    <t>Apprentissage - Stage</t>
  </si>
  <si>
    <t>Agriculteurs exploitants</t>
  </si>
  <si>
    <t>Artisans, commerçants, chefs d'entr.</t>
  </si>
  <si>
    <t>Employés</t>
  </si>
  <si>
    <t>Ouvriers</t>
  </si>
  <si>
    <t>Professions intermédiaires</t>
  </si>
  <si>
    <t>Ménages sans voiture</t>
  </si>
  <si>
    <t>Ménages avec 1 voiture</t>
  </si>
  <si>
    <t>Ménages avec 2 voitures ou +</t>
  </si>
  <si>
    <t>û</t>
  </si>
  <si>
    <t>PARC DE LOGEMENTS</t>
  </si>
  <si>
    <t>Cadres et professions intellec. sup.</t>
  </si>
  <si>
    <t>En nombre</t>
  </si>
  <si>
    <t>Artisans, comm. et chefs d'entr.</t>
  </si>
  <si>
    <t>Autre</t>
  </si>
  <si>
    <t>Taux d'évolution annuel moyen de la population municipale</t>
  </si>
  <si>
    <t>Logé gratuit</t>
  </si>
  <si>
    <t>0-4 ans</t>
  </si>
  <si>
    <t>5-9 ans</t>
  </si>
  <si>
    <t>10-14 ans</t>
  </si>
  <si>
    <t>15-19 ans</t>
  </si>
  <si>
    <t>20-24 ans</t>
  </si>
  <si>
    <t>25-29 ans</t>
  </si>
  <si>
    <t>30-34 ans</t>
  </si>
  <si>
    <t>35-39 ans</t>
  </si>
  <si>
    <t>40-44 ans</t>
  </si>
  <si>
    <t>45-49 ans</t>
  </si>
  <si>
    <t>50-54 ans</t>
  </si>
  <si>
    <t>55-59 ans</t>
  </si>
  <si>
    <t>60-64 ans</t>
  </si>
  <si>
    <t>65-69 ans</t>
  </si>
  <si>
    <t>70-74 ans</t>
  </si>
  <si>
    <t>75-79 ans</t>
  </si>
  <si>
    <t>80-84 ans</t>
  </si>
  <si>
    <t>90-94 ans</t>
  </si>
  <si>
    <t>Les 30 - 59 ans</t>
  </si>
  <si>
    <t>Actifs occupés 15 ans ou plus</t>
  </si>
  <si>
    <t>Ballan-Miré Femmes</t>
  </si>
  <si>
    <t>Berthenay Hommes</t>
  </si>
  <si>
    <t>Berthenay Femmes</t>
  </si>
  <si>
    <t>Fondettes Hommes</t>
  </si>
  <si>
    <t>Fondettes Femmes</t>
  </si>
  <si>
    <t>Luynes Hommes</t>
  </si>
  <si>
    <t>Luynes Femmes</t>
  </si>
  <si>
    <t>Mettray Hommes</t>
  </si>
  <si>
    <t>Mettray Femmes</t>
  </si>
  <si>
    <t>Druye Hommes</t>
  </si>
  <si>
    <t>Druye Femmes</t>
  </si>
  <si>
    <t>Savonnières Hommes</t>
  </si>
  <si>
    <t>Savonnières Femmes</t>
  </si>
  <si>
    <t>Villandry Hommes</t>
  </si>
  <si>
    <t>Villandry Femmes</t>
  </si>
  <si>
    <t>La Riche Hommes</t>
  </si>
  <si>
    <t>Tours Hommes</t>
  </si>
  <si>
    <t>Tours Femmes</t>
  </si>
  <si>
    <t>Larçay Hommes</t>
  </si>
  <si>
    <t>Larçay Femmes</t>
  </si>
  <si>
    <t>Véretz Hommes</t>
  </si>
  <si>
    <t>Véretz Femmes</t>
  </si>
  <si>
    <t>Esvres Hommes</t>
  </si>
  <si>
    <t>Esvres Femmes</t>
  </si>
  <si>
    <t>Montbazon Hommes</t>
  </si>
  <si>
    <t>Montbazon Femmes</t>
  </si>
  <si>
    <t>Monts Hommes</t>
  </si>
  <si>
    <t>Monts Femmes</t>
  </si>
  <si>
    <t>Saint-Branchs Hommes</t>
  </si>
  <si>
    <t>Saint-Branchs Femmes</t>
  </si>
  <si>
    <t>Sorigny Hommes</t>
  </si>
  <si>
    <t>Sorigny Femmes</t>
  </si>
  <si>
    <t>Truyes Hommes</t>
  </si>
  <si>
    <t>Truyes Femmes</t>
  </si>
  <si>
    <t>Veigné Hommes</t>
  </si>
  <si>
    <t>Veigné Femmes</t>
  </si>
  <si>
    <t>Chançay Hommes</t>
  </si>
  <si>
    <t>Chançay Femmes</t>
  </si>
  <si>
    <t>Monnaie Hommes</t>
  </si>
  <si>
    <t>Monnaie Femmes</t>
  </si>
  <si>
    <t>Reugny Hommes</t>
  </si>
  <si>
    <t>Reugny Femmes</t>
  </si>
  <si>
    <t>Rochecorbon Hommes</t>
  </si>
  <si>
    <t>Rochecorbon Femmes</t>
  </si>
  <si>
    <t>Vouvray Hommes</t>
  </si>
  <si>
    <t>Vouvray Femmes</t>
  </si>
  <si>
    <t>Chanceaux-sur-Choisille Hommes</t>
  </si>
  <si>
    <t>Chanceaux-sur-Choisille Femmes</t>
  </si>
  <si>
    <t>Artannes-sur-Indre Hommes</t>
  </si>
  <si>
    <t>Artannes-sur-Indre Femmes</t>
  </si>
  <si>
    <t>La Ville-aux-Dames Hommes</t>
  </si>
  <si>
    <t>La Ville-aux-Dames Femmes</t>
  </si>
  <si>
    <t>Montlouis-sur-Loire Hommes</t>
  </si>
  <si>
    <t>Montlouis-sur-Loire Femmes</t>
  </si>
  <si>
    <t>Azay-sur-Cher Hommes</t>
  </si>
  <si>
    <t>Azay-sur-Cher Femmes</t>
  </si>
  <si>
    <t>Vernou-sur-Brenne Femmes</t>
  </si>
  <si>
    <t>Vernou-sur-Brenne Hommes</t>
  </si>
  <si>
    <t>Parçay-Meslay Femmes</t>
  </si>
  <si>
    <t>La Membrolle-sur-Choisille Femmes</t>
  </si>
  <si>
    <t>Notre-Dame-d'Oé Femmes</t>
  </si>
  <si>
    <t>Notre-Dame-d'Oé Hommes</t>
  </si>
  <si>
    <t>Saint-Étienne-de-Chigny Hommes</t>
  </si>
  <si>
    <t>Saint-Étienne-de-Chigny Femmes</t>
  </si>
  <si>
    <t>Saint-Genouph Hommes</t>
  </si>
  <si>
    <t>Saint-Genouph Femmes</t>
  </si>
  <si>
    <t>Ballan-Miré Hommes</t>
  </si>
  <si>
    <t>Chambray-lès-Tours Hommes</t>
  </si>
  <si>
    <t>Chambray-lès-Tours Femmes</t>
  </si>
  <si>
    <t>Saint-Avertin Hommes</t>
  </si>
  <si>
    <t>Saint-Avertin Femmes</t>
  </si>
  <si>
    <t>Saint-Cyr-sur-Loire Hommes</t>
  </si>
  <si>
    <t>Saint-Cyr-sur-Loire Femmes</t>
  </si>
  <si>
    <t>Saint-Pierre-des-Corps Hommes</t>
  </si>
  <si>
    <t>Saint-Pierre-des-Corps Femmes</t>
  </si>
  <si>
    <t>La Membrolle-sur-Choisille Hommes</t>
  </si>
  <si>
    <t>La Riche Femmes</t>
  </si>
  <si>
    <t>Parçay-Meslay Hommes</t>
  </si>
  <si>
    <t>En pourcentage</t>
  </si>
  <si>
    <t>LES 30 - 59 ANS</t>
  </si>
  <si>
    <t>Années des recensements</t>
  </si>
  <si>
    <t>Actifs ayant un emploi</t>
  </si>
  <si>
    <t>Moins de 
20 ans</t>
  </si>
  <si>
    <t>Familles</t>
  </si>
  <si>
    <t>Population et indicateurs démographiques</t>
  </si>
  <si>
    <t>Personnes âgées de
0 à 14 ans</t>
  </si>
  <si>
    <t>Personnes âgées de
15 à 29 ans</t>
  </si>
  <si>
    <t>Personnes âgées de
30 à 44 ans</t>
  </si>
  <si>
    <t>Personnes âgées de
45 à 59 ans</t>
  </si>
  <si>
    <t>Personnes âgées de
60 à 74 ans</t>
  </si>
  <si>
    <t>Personnes âgées de
75 ans ou plus</t>
  </si>
  <si>
    <t>Artisans, commerçants et chefs d'entreprise</t>
  </si>
  <si>
    <t>Cadres et professions intellectuelles supérieures</t>
  </si>
  <si>
    <t>Retraités</t>
  </si>
  <si>
    <t>Autres personnes sans activité professionnelle</t>
  </si>
  <si>
    <t>Catégorie socioprofessionnelle</t>
  </si>
  <si>
    <t>Champ statistique : Personnes âgées de 15 ans ou plus</t>
  </si>
  <si>
    <t>1 pièce</t>
  </si>
  <si>
    <t>2 pièces</t>
  </si>
  <si>
    <t>3 pièces</t>
  </si>
  <si>
    <t>4 pièces</t>
  </si>
  <si>
    <t>5 pièces ou plus</t>
  </si>
  <si>
    <t>1 ou 2 
pièces</t>
  </si>
  <si>
    <t>3 ou 4 
pièces</t>
  </si>
  <si>
    <t>5 pièces
ou plus</t>
  </si>
  <si>
    <t>Nombre moyen de pièces</t>
  </si>
  <si>
    <t>Depuis 10 ans ou plus</t>
  </si>
  <si>
    <t>65 ans ou 
plus</t>
  </si>
  <si>
    <t>De 20 à 
64 ans</t>
  </si>
  <si>
    <t>Chômeurs</t>
  </si>
  <si>
    <t>Autres inactifs</t>
  </si>
  <si>
    <t>Actifs</t>
  </si>
  <si>
    <t>Inactifs</t>
  </si>
  <si>
    <t>Retraité ou préretraités</t>
  </si>
  <si>
    <t>Nombre d'actifs</t>
  </si>
  <si>
    <t>Nombre d'inactifs</t>
  </si>
  <si>
    <t>Ensemble</t>
  </si>
  <si>
    <t>Population âgée de 
15 à 64 ans</t>
  </si>
  <si>
    <t>Activité de la population résidante</t>
  </si>
  <si>
    <t>CDD</t>
  </si>
  <si>
    <t>Aides 
familiaux</t>
  </si>
  <si>
    <t>Emplois 
aidés</t>
  </si>
  <si>
    <t>Apprentis-
sage - Stage</t>
  </si>
  <si>
    <t>3 enfants 
ou plus</t>
  </si>
  <si>
    <t>Aucun 
enfant</t>
  </si>
  <si>
    <t>Poids dans la population</t>
  </si>
  <si>
    <t>Sans voiture</t>
  </si>
  <si>
    <t>1 voiture</t>
  </si>
  <si>
    <t>2 voitures 
ou plus</t>
  </si>
  <si>
    <t>FAMILLES</t>
  </si>
  <si>
    <t>Liste des indicateurs présents par fiche thématique</t>
  </si>
  <si>
    <t>EMPLOI, ACTIVITE ET MARCHE DU TRAVAIL - TABLEAU 1</t>
  </si>
  <si>
    <t>Les enfants et jeunes adultes</t>
  </si>
  <si>
    <t>Les séniors</t>
  </si>
  <si>
    <t>LES ENFANTS ET JEUNES ADULTES</t>
  </si>
  <si>
    <t>MÉNAGES</t>
  </si>
  <si>
    <t>LES SÉNIORS</t>
  </si>
  <si>
    <t>ACTIVITÉ DE LA POPULATION RESIDANTE</t>
  </si>
  <si>
    <t>LES MODES DE DÉPLACEMENT</t>
  </si>
  <si>
    <t>PARC DES RÉSIDENCES PRINCIPALES</t>
  </si>
  <si>
    <t>POPULATION ET INDICATEURS DÉMOGRAPHIQUES</t>
  </si>
  <si>
    <t>CATÉGORIE SOCIOPROFESSIONNELLE</t>
  </si>
  <si>
    <t>Ménages d'une 
personne</t>
  </si>
  <si>
    <t>Couples 
sans enfant</t>
  </si>
  <si>
    <t>Autres</t>
  </si>
  <si>
    <t>Évolution annuelle moyenne</t>
  </si>
  <si>
    <t>Élèves, étudiants et stagiaires</t>
  </si>
  <si>
    <r>
      <t xml:space="preserve">Précaires </t>
    </r>
    <r>
      <rPr>
        <sz val="7"/>
        <color theme="0"/>
        <rFont val="Arial Narrow"/>
        <family val="2"/>
      </rPr>
      <t>(CDD, Intérim …)</t>
    </r>
  </si>
  <si>
    <r>
      <t xml:space="preserve">Précaires </t>
    </r>
    <r>
      <rPr>
        <sz val="7"/>
        <color theme="1"/>
        <rFont val="Arial Narrow"/>
        <family val="2"/>
      </rPr>
      <t>(CDD, Intérim …)</t>
    </r>
  </si>
  <si>
    <r>
      <t xml:space="preserve">Non précaires </t>
    </r>
    <r>
      <rPr>
        <sz val="7"/>
        <color theme="0"/>
        <rFont val="Arial Narrow"/>
        <family val="2"/>
      </rPr>
      <t>(CDI)</t>
    </r>
  </si>
  <si>
    <r>
      <t>Non précaires</t>
    </r>
    <r>
      <rPr>
        <sz val="7"/>
        <color theme="1"/>
        <rFont val="Arial Narrow"/>
        <family val="2"/>
      </rPr>
      <t xml:space="preserve"> (CDI)</t>
    </r>
  </si>
  <si>
    <t>Retraités ou préretraités</t>
  </si>
  <si>
    <t>Artisans, Commerçants, Chefs d'entreprise</t>
  </si>
  <si>
    <t>Cadres et Professions Intellectuelles Supérieures</t>
  </si>
  <si>
    <t>De 2 à 5 ans</t>
  </si>
  <si>
    <t>De 6 à 10 ans</t>
  </si>
  <si>
    <t>De 11 à 14 ans</t>
  </si>
  <si>
    <t>De 15 à 17 ans</t>
  </si>
  <si>
    <t>De 18 à 24 ans</t>
  </si>
  <si>
    <t>De 25 à 29 ans</t>
  </si>
  <si>
    <t>30 ans ou plus</t>
  </si>
  <si>
    <t>Population scolarisée</t>
  </si>
  <si>
    <t>Hommes</t>
  </si>
  <si>
    <t>Femmes</t>
  </si>
  <si>
    <t>2 à 5 
ans</t>
  </si>
  <si>
    <t>6 à 10 
ans</t>
  </si>
  <si>
    <t>11 à 14 
ans</t>
  </si>
  <si>
    <t>15 à 17 
ans</t>
  </si>
  <si>
    <t>18 à 24 
ans</t>
  </si>
  <si>
    <t>25 à 29 
ans</t>
  </si>
  <si>
    <t>30 ans 
ou plus</t>
  </si>
  <si>
    <t>Population non scolarisée</t>
  </si>
  <si>
    <t>POPULATION SCOLARISÉE</t>
  </si>
  <si>
    <t>POPULATION NON SCOLARISÉE</t>
  </si>
  <si>
    <t>Logements
vacants</t>
  </si>
  <si>
    <t>Rés. sec. et
logts. occ.</t>
  </si>
  <si>
    <t>85-89 ans</t>
  </si>
  <si>
    <t>CAP ou BEP</t>
  </si>
  <si>
    <t>Agriculteurs
exploitants</t>
  </si>
  <si>
    <t>Artisans, commerçants et
chefs d'entreprise</t>
  </si>
  <si>
    <t>Cadres et professions
intellectuelles supérieures</t>
  </si>
  <si>
    <t>Professions
intermédiaires</t>
  </si>
  <si>
    <t>Autres personnes
sans activité professionnelle</t>
  </si>
  <si>
    <t>Aucun diplôme ou BEPC, Brevet des collèges, DNB</t>
  </si>
  <si>
    <t>Aucun diplôme ou BEPC, Brevet des collèges ou DNB</t>
  </si>
  <si>
    <t>Avant 1919</t>
  </si>
  <si>
    <t>De 1919 à 1945</t>
  </si>
  <si>
    <t>De 1946 à 1970</t>
  </si>
  <si>
    <t>De 1971 à 1990</t>
  </si>
  <si>
    <t>De 1991 à 2005</t>
  </si>
  <si>
    <t>Joué-lès-Tours</t>
  </si>
  <si>
    <t>Diplôme de l'enseignement supérieur</t>
  </si>
  <si>
    <t>Revenus nets déclarés des foyers fiscaux</t>
  </si>
  <si>
    <t>Tours Métropole Val de Loire</t>
  </si>
  <si>
    <t>Tours Métropole Val de Loire Hommes</t>
  </si>
  <si>
    <t>Tours Métropole Val de Loire Femmes</t>
  </si>
  <si>
    <t>CC Touraine-Est Vallées</t>
  </si>
  <si>
    <t>CC Touraine Vallée de l'Indre</t>
  </si>
  <si>
    <t>CC Touraine Vallée de l'Indre Hommes</t>
  </si>
  <si>
    <t>CC Touraine Vallée de l'Indre Femmes</t>
  </si>
  <si>
    <t>Azay-le-Rideau</t>
  </si>
  <si>
    <t>Bréhémont</t>
  </si>
  <si>
    <t>La Chapelle-aux-Naux</t>
  </si>
  <si>
    <t>Cheillé</t>
  </si>
  <si>
    <t>Lignières-de-Touraine</t>
  </si>
  <si>
    <t>Pont-de-Ruan</t>
  </si>
  <si>
    <t>Rigny-Ussé</t>
  </si>
  <si>
    <t>Rivarennes</t>
  </si>
  <si>
    <t>Sainte-Catherine-de-Fierbois</t>
  </si>
  <si>
    <t>Thilouze</t>
  </si>
  <si>
    <t>Vallères</t>
  </si>
  <si>
    <t>Villaines-les-Rochers</t>
  </si>
  <si>
    <t>Villeperdue</t>
  </si>
  <si>
    <t>Saché</t>
  </si>
  <si>
    <t>Joué-lès-Tours Hommes</t>
  </si>
  <si>
    <t>Joué-lès-Tours Femmes</t>
  </si>
  <si>
    <t>NOMBRE D'HABITANTS</t>
  </si>
  <si>
    <t>ÉVOLUTION DU NOMBRE DE NAISSANCES</t>
  </si>
  <si>
    <t>DÉMOGRAPHIE
TABLEAU 1</t>
  </si>
  <si>
    <t>TAUX D'ÉVOLUTION ANNUEL MOYEN
DE LA POPULATION MUNICIPALE</t>
  </si>
  <si>
    <t>DÉMOGRAPHIE
TABLEAU 2</t>
  </si>
  <si>
    <t>0 - 14
ans</t>
  </si>
  <si>
    <t>15 - 29
ans</t>
  </si>
  <si>
    <t>30 - 44
ans</t>
  </si>
  <si>
    <t>45 - 59
ans</t>
  </si>
  <si>
    <t>75 ans
ou plus</t>
  </si>
  <si>
    <t>60 - 74
ans</t>
  </si>
  <si>
    <t>TAILLE MOYENNE DES MÉNAGES</t>
  </si>
  <si>
    <t>MÉNAGES ET FAMILLES
TABLEAU 1</t>
  </si>
  <si>
    <t>ÉVOLUTION DU PARC DE LOGEMENTS</t>
  </si>
  <si>
    <t>HABITAT
TABLEAU 1</t>
  </si>
  <si>
    <t>HABITAT
TABLEAU 2</t>
  </si>
  <si>
    <t>Logements vacants</t>
  </si>
  <si>
    <t>Résidences secondaires et logements occasionnels</t>
  </si>
  <si>
    <t>ÉVOLUTION DU PARC DES RÉSIDENCES PRINCIPALES</t>
  </si>
  <si>
    <t>HABITAT
TABLEAU 4</t>
  </si>
  <si>
    <t>HABITAT
TABLEAU 3</t>
  </si>
  <si>
    <t>TYPOLOGIE DU PARC DE LOGEMENTS</t>
  </si>
  <si>
    <t>TAILLE DES RÉSIDENCES PRINCIPALES</t>
  </si>
  <si>
    <t>HABITAT
TABLEAU 5</t>
  </si>
  <si>
    <t>STATUT D'OCCUPATION DES RÉSIDENCES PRINCIPALES</t>
  </si>
  <si>
    <t>HABITAT
TABLEAU 7</t>
  </si>
  <si>
    <t>Pièces des résidences principales</t>
  </si>
  <si>
    <t>MÉNAGES ET FAMILLES
TABLEAU 2</t>
  </si>
  <si>
    <t>Les années de comparaison</t>
  </si>
  <si>
    <t>CATÉGORIE SOCIOPROFESSIONNELLE DES PERSONNES ÂGÉES DE 15 ANS OU PLUS</t>
  </si>
  <si>
    <t xml:space="preserve">CATÉGORIE DES LOGEMENTS </t>
  </si>
  <si>
    <t>HABITAT</t>
  </si>
  <si>
    <t>DÉMOGRAPHIE</t>
  </si>
  <si>
    <t>CLASSES D'ÂGE</t>
  </si>
  <si>
    <t>REVENUS</t>
  </si>
  <si>
    <t>MÉNAGES ET FAMILLES</t>
  </si>
  <si>
    <t>EMPLOI, ACTIVITÉ ET MARCHÉ DU TRAVAIL</t>
  </si>
  <si>
    <t>DIPLÔME ET FORMATION</t>
  </si>
  <si>
    <t>RÉPARTITION DE LA POPULATION SELON LEUR ÂGE (EN 6 CLASSES)</t>
  </si>
  <si>
    <t>RÉPARTITION DE LA POPULATION SELON LEUR ÂGE (EN 3 CLASSES)</t>
  </si>
  <si>
    <t>CLASSES D'ÂGE
TABLEAU 2</t>
  </si>
  <si>
    <t>CLASSES D'ÂGE
TABLEAU 1</t>
  </si>
  <si>
    <t>TYPE D'ACTIVITÉ DE LA POPULATION ÂGÉE DE 15 À 64 ANS</t>
  </si>
  <si>
    <t>MÉNAGES ET FAMILLES
TABLEAU 3</t>
  </si>
  <si>
    <t>STRUCTURE FAMILIALE DES MÉNAGES</t>
  </si>
  <si>
    <t>TYPOLOGIE DU PARC DES RÉSIDENCES PRINCIPALES</t>
  </si>
  <si>
    <t>HABITAT
TABLEAU 8</t>
  </si>
  <si>
    <t>POPULATION MUNICIPALE</t>
  </si>
  <si>
    <t>APPARTEMENT</t>
  </si>
  <si>
    <t>MAISON</t>
  </si>
  <si>
    <t>ENSEMBLE DES RÉSIDENCES PRINCIPALES</t>
  </si>
  <si>
    <t>PÉRIODE DE CONSTRUCTION DES RÉSIDENCES PRINCIPALES</t>
  </si>
  <si>
    <t>HABITAT
TABLEAU 9</t>
  </si>
  <si>
    <t>CLASSES D'ÂGE
TABLEAU 3</t>
  </si>
  <si>
    <t>PYRAMIDE DES ÂGES</t>
  </si>
  <si>
    <t>CC Touraine-Est Vallées Hommes</t>
  </si>
  <si>
    <t>CC Touraine-Est Vallées Femmes</t>
  </si>
  <si>
    <t>Azay-le-Rideau Hommes</t>
  </si>
  <si>
    <t>Azay-le-Rideau Femmes</t>
  </si>
  <si>
    <t>Bréhémont Hommes</t>
  </si>
  <si>
    <t>Bréhémont Femmes</t>
  </si>
  <si>
    <t>Cheillé Hommes</t>
  </si>
  <si>
    <t>Cheillé Femmes</t>
  </si>
  <si>
    <t>La Chapelle-aux-Naux Hommes</t>
  </si>
  <si>
    <t>La Chapelle-aux-Naux Femmes</t>
  </si>
  <si>
    <t>Lignières-de-Touraine Hommes</t>
  </si>
  <si>
    <t>Lignières-de-Touraine Femmes</t>
  </si>
  <si>
    <t>Pont-de-Ruan Hommes</t>
  </si>
  <si>
    <t>Pont-de-Ruan Femmes</t>
  </si>
  <si>
    <t>Rigny-Ussé Hommes</t>
  </si>
  <si>
    <t>Rigny-Ussé Femmes</t>
  </si>
  <si>
    <t>Rivarennes Hommes</t>
  </si>
  <si>
    <t>Rivarennes Femmes</t>
  </si>
  <si>
    <t>Saché Hommes</t>
  </si>
  <si>
    <t>Saché Femmes</t>
  </si>
  <si>
    <t>Sainte-Catherine-de-Fierbois Hommes</t>
  </si>
  <si>
    <t>Sainte-Catherine-de-Fierbois Femmes</t>
  </si>
  <si>
    <t>Thilouze Hommes</t>
  </si>
  <si>
    <t>Thilouze Femmes</t>
  </si>
  <si>
    <t>Vallères Hommes</t>
  </si>
  <si>
    <t>Vallères Femmes</t>
  </si>
  <si>
    <t>Villaines-les-Rochers Hommes</t>
  </si>
  <si>
    <t>Villaines-les-Rochers Femmes</t>
  </si>
  <si>
    <t>Villeperdue Hommes</t>
  </si>
  <si>
    <t>NOMBRE DE MÉNAGES</t>
  </si>
  <si>
    <t>POPULATION DES MÉNAGES</t>
  </si>
  <si>
    <t>MÉNAGES ET FAMILLES
TABLEAU 4</t>
  </si>
  <si>
    <t>MÉNAGES ET FAMILLES
TABLEAU 5</t>
  </si>
  <si>
    <t>Pour le graphique :</t>
  </si>
  <si>
    <t>Ménage d'une personne</t>
  </si>
  <si>
    <t>Autre ménage sans famille</t>
  </si>
  <si>
    <t>Couple sans enfant</t>
  </si>
  <si>
    <t>Couple avec enfant(s)</t>
  </si>
  <si>
    <t>Famille monoparentale</t>
  </si>
  <si>
    <t>Personnes vivant seules</t>
  </si>
  <si>
    <t>MÉNAGES ET FAMILLES
TABLEAU 6</t>
  </si>
  <si>
    <t>ÂGE DES PERSONNES VIVANT SEULES</t>
  </si>
  <si>
    <t>FAMILLES SELON LE NOMBRE D'ENFANTS DE MOINS DE 25 ANS</t>
  </si>
  <si>
    <t>De 1919
à 1945</t>
  </si>
  <si>
    <t>De 1946
à 1970</t>
  </si>
  <si>
    <t>De 1971
à 1990</t>
  </si>
  <si>
    <t>De 1991
à 2005</t>
  </si>
  <si>
    <t>Avant
1919</t>
  </si>
  <si>
    <t>HABITAT
TABLEAU 10</t>
  </si>
  <si>
    <t>FORMATION
TABLEAU 1</t>
  </si>
  <si>
    <t>ENSEMBLE DE LA POPULATION</t>
  </si>
  <si>
    <t>SCOLARISATION SELON L'ÂGE</t>
  </si>
  <si>
    <t>HOMMES</t>
  </si>
  <si>
    <t>DIPLÔME LE PLUS ÉLÉVÉ DE LA POPULATION NON SCOLARISÉE</t>
  </si>
  <si>
    <t>FORMATION
TABLEAU 2</t>
  </si>
  <si>
    <t>FORMATION
TABLEAU 3</t>
  </si>
  <si>
    <t>FEMMES</t>
  </si>
  <si>
    <t>Baccalauréat</t>
  </si>
  <si>
    <t>DIPLÔME LE PLUS ÉLÉVÉ DE LA POPULATION
NON SCOLARISÉE SELON LE GENRE</t>
  </si>
  <si>
    <t>ÉQUIPEMENT AUTOMOBILE DES MÉNAGES</t>
  </si>
  <si>
    <t>Résidences
principales</t>
  </si>
  <si>
    <t>Résidences
secondaires
et logements
occasionnels</t>
  </si>
  <si>
    <t>Pyramide des âges</t>
  </si>
  <si>
    <r>
      <t xml:space="preserve">Non précaires
</t>
    </r>
    <r>
      <rPr>
        <i/>
        <sz val="10"/>
        <color theme="1"/>
        <rFont val="Arial Narrow"/>
        <family val="2"/>
      </rPr>
      <t>(CDI)</t>
    </r>
  </si>
  <si>
    <r>
      <t xml:space="preserve">Précaires
</t>
    </r>
    <r>
      <rPr>
        <i/>
        <sz val="10"/>
        <color theme="1"/>
        <rFont val="Arial Narrow"/>
        <family val="2"/>
      </rPr>
      <t>(CDD, Intérim …)</t>
    </r>
  </si>
  <si>
    <t>Baccalauréat (général, technologique, professionnel)</t>
  </si>
  <si>
    <t>EMPLOI, ACTIVITE ET MARCHE DU TRAVAIL - TABLEAU 3</t>
  </si>
  <si>
    <t>EMPLOI, ACTIVITE ET MARCHE DU TRAVAIL - TABLEAU 4</t>
  </si>
  <si>
    <t>CATÉGORIE SOCIOPROFESSIONNELLE DES ACTIFS OCCUPÉS ÂGÉS DE 15 À 64 ANS</t>
  </si>
  <si>
    <t>STATUT DES ACTIFS OCCUPÉS ÂGÉS DE 15 ANS OU PLUS</t>
  </si>
  <si>
    <t>STATUT ET CONDITION D'EMPLOI DES ACTIFS OCCUPÉS ÂGÉS DE 15 ANS OU PLUS</t>
  </si>
  <si>
    <t>FOCUS SUR LA PRÉCARITÉ DES SALARIÉS ÂGÉS DE 15 ANS OU PLUS</t>
  </si>
  <si>
    <t>THÈME 1 : DÉMOGRAPHIE</t>
  </si>
  <si>
    <t>REVENUS NETS DÉCLARÉS DES FOYERS FISCAUX</t>
  </si>
  <si>
    <t>Locataire HLM *</t>
  </si>
  <si>
    <t>Grandes tranches d'âges</t>
  </si>
  <si>
    <t>95 ans ou plus</t>
  </si>
  <si>
    <t>Élèves étudiants
 et stagiaires</t>
  </si>
  <si>
    <t>Personnes âgées de 0 à 14 ans</t>
  </si>
  <si>
    <t>Personnes âgées de 15 à 29 ans</t>
  </si>
  <si>
    <t>Personnes âgées de 30 à 44 ans</t>
  </si>
  <si>
    <t>Personnes âgées de 45 à 59 ans</t>
  </si>
  <si>
    <t>Personnes âgées de 60 à 74 ans</t>
  </si>
  <si>
    <t>Personnes âgées de 75 ans ou plus</t>
  </si>
  <si>
    <t>GRANDES TRANCHES D'ÂGES</t>
  </si>
  <si>
    <t>Indices de vieillesse et de dépendance économique</t>
  </si>
  <si>
    <r>
      <t xml:space="preserve">Vieillesse </t>
    </r>
    <r>
      <rPr>
        <b/>
        <vertAlign val="superscript"/>
        <sz val="9"/>
        <color rgb="FFDD8047"/>
        <rFont val="Arial Narrow"/>
        <family val="2"/>
      </rPr>
      <t>1</t>
    </r>
  </si>
  <si>
    <r>
      <t xml:space="preserve">Dépendance économique </t>
    </r>
    <r>
      <rPr>
        <b/>
        <vertAlign val="superscript"/>
        <sz val="9"/>
        <color rgb="FFDD8047"/>
        <rFont val="Arial Narrow"/>
        <family val="2"/>
      </rPr>
      <t>2</t>
    </r>
  </si>
  <si>
    <t>Indice de vieillesse et de dépéndance économique</t>
  </si>
  <si>
    <r>
      <rPr>
        <b/>
        <i/>
        <vertAlign val="superscript"/>
        <sz val="8"/>
        <color rgb="FFDD8047"/>
        <rFont val="Arial Narrow"/>
        <family val="2"/>
      </rPr>
      <t>1</t>
    </r>
    <r>
      <rPr>
        <b/>
        <i/>
        <sz val="8"/>
        <rFont val="Arial Narrow"/>
        <family val="2"/>
      </rPr>
      <t xml:space="preserve"> </t>
    </r>
    <r>
      <rPr>
        <i/>
        <sz val="8"/>
        <rFont val="Arial Narrow"/>
        <family val="2"/>
      </rPr>
      <t>Nombre de personnes âgées de 65 ans ou plus pour 100 personnes âgées de moins de 20 ans</t>
    </r>
  </si>
  <si>
    <t>Villeperdue Femmes</t>
  </si>
  <si>
    <r>
      <rPr>
        <b/>
        <i/>
        <vertAlign val="superscript"/>
        <sz val="8"/>
        <color rgb="FFDD8047"/>
        <rFont val="Arial Narrow"/>
        <family val="2"/>
      </rPr>
      <t>2</t>
    </r>
    <r>
      <rPr>
        <b/>
        <i/>
        <sz val="8"/>
        <rFont val="Arial Narrow"/>
        <family val="2"/>
      </rPr>
      <t xml:space="preserve"> </t>
    </r>
    <r>
      <rPr>
        <i/>
        <sz val="8"/>
        <rFont val="Arial Narrow"/>
        <family val="2"/>
      </rPr>
      <t>Nombre de personnes âgées de moins de 20 ans
et 65 ans ou plus rapporté au nombre de 20 à 64 ans</t>
    </r>
  </si>
  <si>
    <t>372610101</t>
  </si>
  <si>
    <t>372610102</t>
  </si>
  <si>
    <t>372610103</t>
  </si>
  <si>
    <t>372610104</t>
  </si>
  <si>
    <t>372610105</t>
  </si>
  <si>
    <t>372610201</t>
  </si>
  <si>
    <t>372610202</t>
  </si>
  <si>
    <t>372610203</t>
  </si>
  <si>
    <t>372610204</t>
  </si>
  <si>
    <t>372610301</t>
  </si>
  <si>
    <t>372610401</t>
  </si>
  <si>
    <t>372610402</t>
  </si>
  <si>
    <t>372610501</t>
  </si>
  <si>
    <t>372610502</t>
  </si>
  <si>
    <t>372610601</t>
  </si>
  <si>
    <t>372610602</t>
  </si>
  <si>
    <t>372610701</t>
  </si>
  <si>
    <t>372610702</t>
  </si>
  <si>
    <t>372610801</t>
  </si>
  <si>
    <t>372610802</t>
  </si>
  <si>
    <t>372610901</t>
  </si>
  <si>
    <t>372610902</t>
  </si>
  <si>
    <t>372611001</t>
  </si>
  <si>
    <t>372611002</t>
  </si>
  <si>
    <t>372611003</t>
  </si>
  <si>
    <t>372611004</t>
  </si>
  <si>
    <t>372611101</t>
  </si>
  <si>
    <t>372611102</t>
  </si>
  <si>
    <t>372611103</t>
  </si>
  <si>
    <t>372611104</t>
  </si>
  <si>
    <t>372611105</t>
  </si>
  <si>
    <t>372611201</t>
  </si>
  <si>
    <t>372611202</t>
  </si>
  <si>
    <t>372611301</t>
  </si>
  <si>
    <t>372611401</t>
  </si>
  <si>
    <t>372611402</t>
  </si>
  <si>
    <t>372611403</t>
  </si>
  <si>
    <t>372611404</t>
  </si>
  <si>
    <t>372611405</t>
  </si>
  <si>
    <t>372611503</t>
  </si>
  <si>
    <t>372611504</t>
  </si>
  <si>
    <t>372611601</t>
  </si>
  <si>
    <t>372611701</t>
  </si>
  <si>
    <t>372611702</t>
  </si>
  <si>
    <t>372611703</t>
  </si>
  <si>
    <t>372611704</t>
  </si>
  <si>
    <t>372611705</t>
  </si>
  <si>
    <t>372611706</t>
  </si>
  <si>
    <t>372611801</t>
  </si>
  <si>
    <t>372611802</t>
  </si>
  <si>
    <t>372611803</t>
  </si>
  <si>
    <t>372611901</t>
  </si>
  <si>
    <t>372612001</t>
  </si>
  <si>
    <t>372612101</t>
  </si>
  <si>
    <t>372612102</t>
  </si>
  <si>
    <t>372612103</t>
  </si>
  <si>
    <t>372612201</t>
  </si>
  <si>
    <t>Centre 1</t>
  </si>
  <si>
    <t>Centre 2</t>
  </si>
  <si>
    <t>Centre 3</t>
  </si>
  <si>
    <t>Centre 4</t>
  </si>
  <si>
    <t>Centre 5</t>
  </si>
  <si>
    <t>Grammont 1</t>
  </si>
  <si>
    <t>Grammont 2</t>
  </si>
  <si>
    <t>Grammont 3</t>
  </si>
  <si>
    <t>Grammont 4</t>
  </si>
  <si>
    <t>Cathédrale</t>
  </si>
  <si>
    <t>Lamartine 1</t>
  </si>
  <si>
    <t>Lamartine 2</t>
  </si>
  <si>
    <t>Rabelais-Tonnellé 1</t>
  </si>
  <si>
    <t>Rabelais-Tonnellé 2</t>
  </si>
  <si>
    <t>Giraudeau 1</t>
  </si>
  <si>
    <t>Giraudeau 2</t>
  </si>
  <si>
    <t>Lakanal-Strasbourg 1</t>
  </si>
  <si>
    <t>Lakanal-Strasbourg 2</t>
  </si>
  <si>
    <t>Febvotte-Marat 1</t>
  </si>
  <si>
    <t>Febvotte-Marat 2</t>
  </si>
  <si>
    <t>Rives du Cher 1</t>
  </si>
  <si>
    <t>Rives du Cher 2</t>
  </si>
  <si>
    <t>La Fuye Velpeau 1</t>
  </si>
  <si>
    <t>La Fuye Velpeau 2</t>
  </si>
  <si>
    <t>La Fuye Velpeau 3</t>
  </si>
  <si>
    <t>La Fuye Velpeau 4</t>
  </si>
  <si>
    <t>Sanitas-Rotonde 1</t>
  </si>
  <si>
    <t>Sanitas-Rotonde 2</t>
  </si>
  <si>
    <t>Sanitas-Rotonde 3</t>
  </si>
  <si>
    <t>Sanitas-Rotonde 4</t>
  </si>
  <si>
    <t>Sanitas-Rotonde 5</t>
  </si>
  <si>
    <t>Beaujardin 1</t>
  </si>
  <si>
    <t>Beaujardin 2</t>
  </si>
  <si>
    <t>Rochepinard</t>
  </si>
  <si>
    <t>Saint-Symphorien 1</t>
  </si>
  <si>
    <t>Saint-Symphorien 2</t>
  </si>
  <si>
    <t>Saint-Symphorien 3</t>
  </si>
  <si>
    <t>Saint-Symphorien 4</t>
  </si>
  <si>
    <t>Saint-Symphorien 5</t>
  </si>
  <si>
    <t>Sainte-Radegonde 1</t>
  </si>
  <si>
    <t>Sainte-Radegonde 2</t>
  </si>
  <si>
    <t>Paul Bert</t>
  </si>
  <si>
    <t>Europe 1</t>
  </si>
  <si>
    <t>Europe 2</t>
  </si>
  <si>
    <t>Europe 3</t>
  </si>
  <si>
    <t>Europe 4</t>
  </si>
  <si>
    <t>Europe 5</t>
  </si>
  <si>
    <t>Europe 6</t>
  </si>
  <si>
    <t>Douets Milletiere 1</t>
  </si>
  <si>
    <t>Douets Milletiere 2</t>
  </si>
  <si>
    <t>Douets Milletiere 3</t>
  </si>
  <si>
    <t>Montjoyeux</t>
  </si>
  <si>
    <t>La Bergeonnerie</t>
  </si>
  <si>
    <t>Les Fontaines 1</t>
  </si>
  <si>
    <t>Les Fontaines 2</t>
  </si>
  <si>
    <t>Les Fontaines 3</t>
  </si>
  <si>
    <t>Deux Lions Gloriette</t>
  </si>
  <si>
    <t>Centre</t>
  </si>
  <si>
    <t>Grammont</t>
  </si>
  <si>
    <t>Lamartine</t>
  </si>
  <si>
    <t>Rabelais-Tonnellé</t>
  </si>
  <si>
    <t>Giraudeau</t>
  </si>
  <si>
    <t>Lakanal-Strasbourg</t>
  </si>
  <si>
    <t>Febvotte-Marat</t>
  </si>
  <si>
    <t>Rives du Cher</t>
  </si>
  <si>
    <t>La Fuye Velpeau</t>
  </si>
  <si>
    <t>Sanitas-Rotonde</t>
  </si>
  <si>
    <t>Beaujardin</t>
  </si>
  <si>
    <t>Saint-Symphorien</t>
  </si>
  <si>
    <t>Sainte-Radegonde</t>
  </si>
  <si>
    <t>Europe</t>
  </si>
  <si>
    <t>Douets Milletiere</t>
  </si>
  <si>
    <t>Les Fontaines</t>
  </si>
  <si>
    <t>Liste des quartiers de Tours</t>
  </si>
  <si>
    <t>Nom du quartier</t>
  </si>
  <si>
    <t>Secteur</t>
  </si>
  <si>
    <t>Tours centre</t>
  </si>
  <si>
    <t>Tours sud</t>
  </si>
  <si>
    <t>Tours nord</t>
  </si>
  <si>
    <t>Sources : Insee, Etat civil</t>
  </si>
  <si>
    <t>Source : Insee, État civil</t>
  </si>
  <si>
    <t>* Définition de l'Insee différente de l'inventaire SRU donnant lieu à des pénalités</t>
  </si>
  <si>
    <t>Sélectionnez le quartier de votre choix</t>
  </si>
  <si>
    <t>De 10 ans ou plus</t>
  </si>
  <si>
    <t>Nombre moyen de naissances 2013-2014</t>
  </si>
  <si>
    <t>Nombre moyen de naissances 2015-2016</t>
  </si>
  <si>
    <t>Nombre moyen de naissances 2017-2018</t>
  </si>
  <si>
    <t>Nombre moyen de naissances 2019-2020</t>
  </si>
  <si>
    <t>Taux de variation moyen annuel entre 2013-2014 et 2015-2016</t>
  </si>
  <si>
    <t>Taux de variation moyen annuel entre 2015-2016 et 2017-2018</t>
  </si>
  <si>
    <t>Taux de variation moyen annuel entre 2017-2018 et 2019-2020</t>
  </si>
  <si>
    <t>DÉMOGRAPHIE
TABLEAU 3</t>
  </si>
  <si>
    <t>DÉMOGRAPHIE
TABLEAU 4</t>
  </si>
  <si>
    <t>DÉMOGRAPHIE
TABLEAU 5</t>
  </si>
  <si>
    <t>REVENUS - TABLEAU 1</t>
  </si>
  <si>
    <t>15-24
ans</t>
  </si>
  <si>
    <t>25-54
ans</t>
  </si>
  <si>
    <t>55-79
ans</t>
  </si>
  <si>
    <t>80 ans ou plus
ans</t>
  </si>
  <si>
    <t>Nombre de pièces maisons</t>
  </si>
  <si>
    <t>Nombre de pièces appartements</t>
  </si>
  <si>
    <t>Nombre moyen de pièces des résidences principales Maisons</t>
  </si>
  <si>
    <t>Nombre moyen de pièces des résidences principales Appartements</t>
  </si>
  <si>
    <t>Nombre de pièces maison</t>
  </si>
  <si>
    <t>Nombre moyen de pièces résidences principales Appartements</t>
  </si>
  <si>
    <t>Nombre moyen de pièces Résidences Principales</t>
  </si>
  <si>
    <t>HABITAT
TABLEAU 6</t>
  </si>
  <si>
    <t>ANCIENNETÉ D'EMMÉNAGEMENT DES MENAGES DANS
LA RÉSIDENCE PRINCIPALE</t>
  </si>
  <si>
    <t>De 2006 à 2013</t>
  </si>
  <si>
    <t>EMPLOI, ACTIVITE ET MARCHE DU TRAVAIL - TABLEAU 2</t>
  </si>
  <si>
    <t>EMPLOI, ACTIVITE ET MARCHE DU TRAVAIL - TABLEAU 5</t>
  </si>
  <si>
    <t>0-14 ans</t>
  </si>
  <si>
    <t>15-29 ans</t>
  </si>
  <si>
    <t>30-44 ans</t>
  </si>
  <si>
    <t>45-59 ans</t>
  </si>
  <si>
    <t>60-74 ans</t>
  </si>
  <si>
    <t>75 ans ou plus</t>
  </si>
  <si>
    <t xml:space="preserve"> Source(s) : Insee-DGFIP-Cnaf-Cnav-CCMSA, Fichier localisé social et fiscal (FiLoSoFi)</t>
  </si>
  <si>
    <t>1er décile du revenu disponible en euros</t>
  </si>
  <si>
    <t>9ème décile du revenu disponible en euros</t>
  </si>
  <si>
    <t>Rapport interdécile</t>
  </si>
  <si>
    <t>Revenus disponibles</t>
  </si>
  <si>
    <t>Revenus déclarés</t>
  </si>
  <si>
    <t xml:space="preserve">Taux de pauvreté au seuil de 60 % </t>
  </si>
  <si>
    <t xml:space="preserve">Revenu médian annuel en euros </t>
  </si>
  <si>
    <r>
      <t>Nombre d'habitants entre 3 recensements</t>
    </r>
    <r>
      <rPr>
        <sz val="9"/>
        <rFont val="Arial Narrow"/>
        <family val="2"/>
      </rPr>
      <t xml:space="preserve">
</t>
    </r>
    <r>
      <rPr>
        <i/>
        <sz val="9"/>
        <rFont val="Arial Narrow"/>
        <family val="2"/>
      </rPr>
      <t>(Population municipale)</t>
    </r>
  </si>
  <si>
    <t>Natalité</t>
  </si>
  <si>
    <t xml:space="preserve">Nombre moyen de naissances domiciliées </t>
  </si>
  <si>
    <t>Nom des IRIS</t>
  </si>
  <si>
    <t xml:space="preserve">Foyers fiscaux imposés </t>
  </si>
  <si>
    <t xml:space="preserve">% de foyers fiscaux imposés </t>
  </si>
  <si>
    <t>De 2006
à 2013</t>
  </si>
  <si>
    <t xml:space="preserve"> 1 voiture</t>
  </si>
  <si>
    <t>2 voitures ou +</t>
  </si>
  <si>
    <t>Choisissez votre sous quartier (IRIS)</t>
  </si>
  <si>
    <t>Nombre d'habitants entre 3 recensements</t>
  </si>
  <si>
    <t xml:space="preserve">NATALITÉ </t>
  </si>
  <si>
    <t>Nombre moyen de naissances domiciliées</t>
  </si>
  <si>
    <t>THÈME 2 : CLASSES D'ÂGE</t>
  </si>
  <si>
    <t>THÈME 3 : REVENUS</t>
  </si>
  <si>
    <t>THÈME 4 : MÉNAGES ET FAMILLES</t>
  </si>
  <si>
    <t>THÈME 5 : HABITAT</t>
  </si>
  <si>
    <t>THÈME 6 : EMPLOI, ACTIVITÉ ET MARCHÉ DU TRAVAIL</t>
  </si>
  <si>
    <t>THÈME 7 : DÉPLACEMENTS DOMICILE-TRAVAIL</t>
  </si>
  <si>
    <t>THÈME 7 : DIPLÔME ET FORMATION</t>
  </si>
  <si>
    <t>Les modes de déplacement</t>
  </si>
  <si>
    <t>Pas de transport</t>
  </si>
  <si>
    <t>Marche à pied</t>
  </si>
  <si>
    <t>Voiture, camion, fourgonette</t>
  </si>
  <si>
    <t>DÉPLACEMENTS DOMICILE-TRAVAIL</t>
  </si>
  <si>
    <t>Champ : Actifs occupés habitant à Tours de 15 ans ou plus ayant un emploi</t>
  </si>
  <si>
    <r>
      <t xml:space="preserve">Deux roues </t>
    </r>
    <r>
      <rPr>
        <i/>
        <sz val="9"/>
        <color theme="0"/>
        <rFont val="Arial Narrow"/>
        <family val="2"/>
      </rPr>
      <t>(motorisés ou non)</t>
    </r>
  </si>
  <si>
    <t>DEPLACEMENTS
TABLEAU 1</t>
  </si>
  <si>
    <t>MODE DE TRANSPORT DES ACTIFS OCCUPES DE 15 OU PLUS POUR ALLER TRAVAILLER</t>
  </si>
  <si>
    <t>En %</t>
  </si>
  <si>
    <t>Revenus disponibles (*)</t>
  </si>
  <si>
    <t>Taux de pauvreté au seuil de 60 %  (**)</t>
  </si>
  <si>
    <t xml:space="preserve">NOMBRE DE NAISSANCES DOMICILIÉES </t>
  </si>
  <si>
    <t>Tours naissances domiciliées et localisées</t>
  </si>
  <si>
    <t xml:space="preserve">Tours naissances domiciliées </t>
  </si>
  <si>
    <t>Tours exploitation INSEE</t>
  </si>
  <si>
    <t xml:space="preserve">80 ans ou plus
</t>
  </si>
  <si>
    <t>Personnes résidant à Tours</t>
  </si>
  <si>
    <t>DEPLACEMENTS
TABLEAU 2</t>
  </si>
  <si>
    <t xml:space="preserve">Dont travaille dans le même dépt </t>
  </si>
  <si>
    <t xml:space="preserve">Dont travaille dans un autre autre dépt et dans la même région </t>
  </si>
  <si>
    <t>Dont travaille dans une autre région que le Centre Val de Loire</t>
  </si>
  <si>
    <t>Dont travaille en dehors de la Métropole (France)</t>
  </si>
  <si>
    <t>Travaille à Tours</t>
  </si>
  <si>
    <t>Travaille dans une autre commune que Tours</t>
  </si>
  <si>
    <t>Travaillent dans une autre commune que Tours</t>
  </si>
  <si>
    <t>Lieu de travail des actifs occupés de(s)</t>
  </si>
  <si>
    <t>Personnes travaillant dans une autre commune (sortants)</t>
  </si>
  <si>
    <t>Dans la région Centre Val de Loire hors département 37</t>
  </si>
  <si>
    <t>Dans le même département (37)</t>
  </si>
  <si>
    <t>Hors Région Centre Val de Loire</t>
  </si>
  <si>
    <t>Hors territoire de la Métropole (France)</t>
  </si>
  <si>
    <t>Lieu de travail des personnes (actifs occupés) résidant à Tours selon le quartier</t>
  </si>
  <si>
    <t>Vélo</t>
  </si>
  <si>
    <t>Deux-roues motorisé</t>
  </si>
  <si>
    <t>Voiture</t>
  </si>
  <si>
    <t>Transport en commun</t>
  </si>
  <si>
    <t>Nombre moyen de naissances 2021-2022</t>
  </si>
  <si>
    <t>Taux de variation moyen annuel entre 2019-2020 et 2021-2022</t>
  </si>
  <si>
    <t>De 2006 à 2015</t>
  </si>
  <si>
    <t>LIEU DE TRAVAIL DES ACTIFS OCCUPES DE 15 ANS OU PLUS                                                                 VIVANT A TOURS</t>
  </si>
  <si>
    <t>Note de lecture : Parmi les 15-24 ans de Tours, 44 % de cette tranche d'âge vit seule</t>
  </si>
  <si>
    <t>Nombre de naissances domiciliées entre 2013 et 2022</t>
  </si>
  <si>
    <t>En raison de la crise sanitaire, l'enquête de recensement a été reportée en 2022. Ainsi, l'INSEE préconsie pour les 5 prochaines années, une comparaison avec un intervalle de 6 ans au lieu de 5.</t>
  </si>
  <si>
    <t xml:space="preserve">Sources : Insee, RP2009, 2014 et 2020 exploitations principales </t>
  </si>
  <si>
    <t>2009-2014</t>
  </si>
  <si>
    <t>2014-2020</t>
  </si>
  <si>
    <t>Géographie en vigueur</t>
  </si>
  <si>
    <t>De 2006 à 2017</t>
  </si>
  <si>
    <t>53,0</t>
  </si>
  <si>
    <t>54,9</t>
  </si>
  <si>
    <t>38,6</t>
  </si>
  <si>
    <t>51,3</t>
  </si>
  <si>
    <t>60,5</t>
  </si>
  <si>
    <t>67,9</t>
  </si>
  <si>
    <t>61,5</t>
  </si>
  <si>
    <t>52,9</t>
  </si>
  <si>
    <t>65,8</t>
  </si>
  <si>
    <t>60,6</t>
  </si>
  <si>
    <t>34,8</t>
  </si>
  <si>
    <t>32,5</t>
  </si>
  <si>
    <t>50,4</t>
  </si>
  <si>
    <t>52,0</t>
  </si>
  <si>
    <t>32,2</t>
  </si>
  <si>
    <t>33,0</t>
  </si>
  <si>
    <t>66,6</t>
  </si>
  <si>
    <t>53,9</t>
  </si>
  <si>
    <t>56,6</t>
  </si>
  <si>
    <t>58,5</t>
  </si>
  <si>
    <t>56,3</t>
  </si>
  <si>
    <t>s</t>
  </si>
  <si>
    <t>54,5</t>
  </si>
  <si>
    <t>65,3</t>
  </si>
  <si>
    <t>55,2</t>
  </si>
  <si>
    <t>23,9</t>
  </si>
  <si>
    <t>26,7</t>
  </si>
  <si>
    <t>14,8</t>
  </si>
  <si>
    <t>22,7</t>
  </si>
  <si>
    <t>44,3</t>
  </si>
  <si>
    <t>38,9</t>
  </si>
  <si>
    <t>53,6</t>
  </si>
  <si>
    <t>49,9</t>
  </si>
  <si>
    <t>32,8</t>
  </si>
  <si>
    <t>53,2</t>
  </si>
  <si>
    <t>60,9</t>
  </si>
  <si>
    <t>50,9</t>
  </si>
  <si>
    <t>57,4</t>
  </si>
  <si>
    <t>46,9</t>
  </si>
  <si>
    <t>50,0</t>
  </si>
  <si>
    <t>35,2</t>
  </si>
  <si>
    <t>52,3</t>
  </si>
  <si>
    <t>33,7</t>
  </si>
  <si>
    <t>57,8</t>
  </si>
  <si>
    <t>45,6</t>
  </si>
  <si>
    <t>ns</t>
  </si>
  <si>
    <t>45,2</t>
  </si>
  <si>
    <t>28,1</t>
  </si>
  <si>
    <t>51,1</t>
  </si>
  <si>
    <t>40,5</t>
  </si>
  <si>
    <t>15,6</t>
  </si>
  <si>
    <t>58,0</t>
  </si>
  <si>
    <t>18,1</t>
  </si>
  <si>
    <t>23810</t>
  </si>
  <si>
    <t>9940</t>
  </si>
  <si>
    <t>53950</t>
  </si>
  <si>
    <t>5,4</t>
  </si>
  <si>
    <t>24180</t>
  </si>
  <si>
    <t>10270</t>
  </si>
  <si>
    <t>45330</t>
  </si>
  <si>
    <t>4,4</t>
  </si>
  <si>
    <t>27,8</t>
  </si>
  <si>
    <t>17820</t>
  </si>
  <si>
    <t>9160</t>
  </si>
  <si>
    <t>34760</t>
  </si>
  <si>
    <t>3,8</t>
  </si>
  <si>
    <t>21,6</t>
  </si>
  <si>
    <t>23220</t>
  </si>
  <si>
    <t>9570</t>
  </si>
  <si>
    <t>53360</t>
  </si>
  <si>
    <t>5,6</t>
  </si>
  <si>
    <t>14,7</t>
  </si>
  <si>
    <t>26770</t>
  </si>
  <si>
    <t>10830</t>
  </si>
  <si>
    <t>58440</t>
  </si>
  <si>
    <t>8,1</t>
  </si>
  <si>
    <t>31470</t>
  </si>
  <si>
    <t>14970</t>
  </si>
  <si>
    <t>63020</t>
  </si>
  <si>
    <t>4,2</t>
  </si>
  <si>
    <t>12,8</t>
  </si>
  <si>
    <t>28220</t>
  </si>
  <si>
    <t>11480</t>
  </si>
  <si>
    <t>55420</t>
  </si>
  <si>
    <t>4,8</t>
  </si>
  <si>
    <t>19,3</t>
  </si>
  <si>
    <t>23390</t>
  </si>
  <si>
    <t>10250</t>
  </si>
  <si>
    <t>43070</t>
  </si>
  <si>
    <t>29460</t>
  </si>
  <si>
    <t>14620</t>
  </si>
  <si>
    <t>55670</t>
  </si>
  <si>
    <t>10,7</t>
  </si>
  <si>
    <t>27830</t>
  </si>
  <si>
    <t>13130</t>
  </si>
  <si>
    <t>54650</t>
  </si>
  <si>
    <t>29,5</t>
  </si>
  <si>
    <t>17240</t>
  </si>
  <si>
    <t>9080</t>
  </si>
  <si>
    <t>36220</t>
  </si>
  <si>
    <t>4,0</t>
  </si>
  <si>
    <t>30,2</t>
  </si>
  <si>
    <t>16460</t>
  </si>
  <si>
    <t>9460</t>
  </si>
  <si>
    <t>29440</t>
  </si>
  <si>
    <t>3,1</t>
  </si>
  <si>
    <t>18,8</t>
  </si>
  <si>
    <t>21760</t>
  </si>
  <si>
    <t>10800</t>
  </si>
  <si>
    <t>39550</t>
  </si>
  <si>
    <t>3,7</t>
  </si>
  <si>
    <t>19,2</t>
  </si>
  <si>
    <t>23030</t>
  </si>
  <si>
    <t>10170</t>
  </si>
  <si>
    <t>39940</t>
  </si>
  <si>
    <t>3,9</t>
  </si>
  <si>
    <t>36,3</t>
  </si>
  <si>
    <t>15400</t>
  </si>
  <si>
    <t>8680</t>
  </si>
  <si>
    <t>25410</t>
  </si>
  <si>
    <t>2,9</t>
  </si>
  <si>
    <t>26,9</t>
  </si>
  <si>
    <t>16830</t>
  </si>
  <si>
    <t>9950</t>
  </si>
  <si>
    <t>26870</t>
  </si>
  <si>
    <t>2,7</t>
  </si>
  <si>
    <t>31030</t>
  </si>
  <si>
    <t>15630</t>
  </si>
  <si>
    <t>56940</t>
  </si>
  <si>
    <t>3,6</t>
  </si>
  <si>
    <t>15,3</t>
  </si>
  <si>
    <t>22210</t>
  </si>
  <si>
    <t>11690</t>
  </si>
  <si>
    <t>39170</t>
  </si>
  <si>
    <t>3,4</t>
  </si>
  <si>
    <t>11,6</t>
  </si>
  <si>
    <t>24220</t>
  </si>
  <si>
    <t>12620</t>
  </si>
  <si>
    <t>39800</t>
  </si>
  <si>
    <t>3,2</t>
  </si>
  <si>
    <t>10,6</t>
  </si>
  <si>
    <t>23890</t>
  </si>
  <si>
    <t>13160</t>
  </si>
  <si>
    <t>38840</t>
  </si>
  <si>
    <t>3,0</t>
  </si>
  <si>
    <t>12,3</t>
  </si>
  <si>
    <t>23590</t>
  </si>
  <si>
    <t>12560</t>
  </si>
  <si>
    <t>36740</t>
  </si>
  <si>
    <t>14450</t>
  </si>
  <si>
    <t>8830</t>
  </si>
  <si>
    <t>22950</t>
  </si>
  <si>
    <t>2,6</t>
  </si>
  <si>
    <t>12,5</t>
  </si>
  <si>
    <t>23660</t>
  </si>
  <si>
    <t>12170</t>
  </si>
  <si>
    <t>42010</t>
  </si>
  <si>
    <t>3,5</t>
  </si>
  <si>
    <t>27410</t>
  </si>
  <si>
    <t>14930</t>
  </si>
  <si>
    <t>44650</t>
  </si>
  <si>
    <t>13,5</t>
  </si>
  <si>
    <t>22360</t>
  </si>
  <si>
    <t>12050</t>
  </si>
  <si>
    <t>40510</t>
  </si>
  <si>
    <t>13,8</t>
  </si>
  <si>
    <t>11410</t>
  </si>
  <si>
    <t>40480</t>
  </si>
  <si>
    <t>49,3</t>
  </si>
  <si>
    <t>13660</t>
  </si>
  <si>
    <t>7520</t>
  </si>
  <si>
    <t>25540</t>
  </si>
  <si>
    <t>64,2</t>
  </si>
  <si>
    <t>11880</t>
  </si>
  <si>
    <t>6910</t>
  </si>
  <si>
    <t>19000</t>
  </si>
  <si>
    <t>2,8</t>
  </si>
  <si>
    <t>43,0</t>
  </si>
  <si>
    <t>14540</t>
  </si>
  <si>
    <t>8240</t>
  </si>
  <si>
    <t>27580</t>
  </si>
  <si>
    <t>3,3</t>
  </si>
  <si>
    <t>46,7</t>
  </si>
  <si>
    <t>13730</t>
  </si>
  <si>
    <t>8510</t>
  </si>
  <si>
    <t>20970</t>
  </si>
  <si>
    <t>2,5</t>
  </si>
  <si>
    <t>50,2</t>
  </si>
  <si>
    <t>13420</t>
  </si>
  <si>
    <t>7780</t>
  </si>
  <si>
    <t>24250</t>
  </si>
  <si>
    <t>21,1</t>
  </si>
  <si>
    <t>20310</t>
  </si>
  <si>
    <t>9910</t>
  </si>
  <si>
    <t>32140</t>
  </si>
  <si>
    <t>23,7</t>
  </si>
  <si>
    <t>18650</t>
  </si>
  <si>
    <t>9740</t>
  </si>
  <si>
    <t>30680</t>
  </si>
  <si>
    <t>15810</t>
  </si>
  <si>
    <t>8820</t>
  </si>
  <si>
    <t>28490</t>
  </si>
  <si>
    <t>13,9</t>
  </si>
  <si>
    <t>21930</t>
  </si>
  <si>
    <t>11980</t>
  </si>
  <si>
    <t>36260</t>
  </si>
  <si>
    <t>16,6</t>
  </si>
  <si>
    <t>20420</t>
  </si>
  <si>
    <t>11600</t>
  </si>
  <si>
    <t>32300</t>
  </si>
  <si>
    <t>31,7</t>
  </si>
  <si>
    <t>16610</t>
  </si>
  <si>
    <t>9930</t>
  </si>
  <si>
    <t>28780</t>
  </si>
  <si>
    <t>14,1</t>
  </si>
  <si>
    <t>22460</t>
  </si>
  <si>
    <t>11270</t>
  </si>
  <si>
    <t>38240</t>
  </si>
  <si>
    <t>12,7</t>
  </si>
  <si>
    <t>23800</t>
  </si>
  <si>
    <t>12390</t>
  </si>
  <si>
    <t>41630</t>
  </si>
  <si>
    <t>8,5</t>
  </si>
  <si>
    <t>23720</t>
  </si>
  <si>
    <t>14010</t>
  </si>
  <si>
    <t>37560</t>
  </si>
  <si>
    <t>16,1</t>
  </si>
  <si>
    <t>22470</t>
  </si>
  <si>
    <t>11330</t>
  </si>
  <si>
    <t>42840</t>
  </si>
  <si>
    <t>9,8</t>
  </si>
  <si>
    <t>24790</t>
  </si>
  <si>
    <t>13560</t>
  </si>
  <si>
    <t>45610</t>
  </si>
  <si>
    <t>21500</t>
  </si>
  <si>
    <t>13970</t>
  </si>
  <si>
    <t>30380</t>
  </si>
  <si>
    <t>2,2</t>
  </si>
  <si>
    <t>13740</t>
  </si>
  <si>
    <t>29930</t>
  </si>
  <si>
    <t>17,0</t>
  </si>
  <si>
    <t>18770</t>
  </si>
  <si>
    <t>12010</t>
  </si>
  <si>
    <t>27010</t>
  </si>
  <si>
    <t>14160</t>
  </si>
  <si>
    <t>21710</t>
  </si>
  <si>
    <t>2,4</t>
  </si>
  <si>
    <t>11,4</t>
  </si>
  <si>
    <t>21790</t>
  </si>
  <si>
    <t>13060</t>
  </si>
  <si>
    <t>31970</t>
  </si>
  <si>
    <t>23,8</t>
  </si>
  <si>
    <t>18180</t>
  </si>
  <si>
    <t>9870</t>
  </si>
  <si>
    <t>28260</t>
  </si>
  <si>
    <t>24550</t>
  </si>
  <si>
    <t>16970</t>
  </si>
  <si>
    <t>35070</t>
  </si>
  <si>
    <t>2,1</t>
  </si>
  <si>
    <t>14,5</t>
  </si>
  <si>
    <t>19970</t>
  </si>
  <si>
    <t>11720</t>
  </si>
  <si>
    <t>18,2</t>
  </si>
  <si>
    <t>20300</t>
  </si>
  <si>
    <t>10110</t>
  </si>
  <si>
    <t>31300</t>
  </si>
  <si>
    <t>26,8</t>
  </si>
  <si>
    <t>16890</t>
  </si>
  <si>
    <t>9610</t>
  </si>
  <si>
    <t>25180</t>
  </si>
  <si>
    <t>16,0</t>
  </si>
  <si>
    <t>22050</t>
  </si>
  <si>
    <t>11360</t>
  </si>
  <si>
    <t>35300</t>
  </si>
  <si>
    <t>21,9</t>
  </si>
  <si>
    <t>18310</t>
  </si>
  <si>
    <t>10590</t>
  </si>
  <si>
    <t>28020</t>
  </si>
  <si>
    <t>13430</t>
  </si>
  <si>
    <t>8170</t>
  </si>
  <si>
    <t>21210</t>
  </si>
  <si>
    <t>22340</t>
  </si>
  <si>
    <t>12320</t>
  </si>
  <si>
    <t>37410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</si>
</sst>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164" formatCode="_-* #,##0.00\ _€_-;\-* #,##0.00\ _€_-;_-* &quot;-&quot;??\ _€_-;_-@_-"/>
    <numFmt numFmtId="165" formatCode="0.0%"/>
    <numFmt numFmtId="166" formatCode="\+\ 0.0%;\-\ 0.0%"/>
    <numFmt numFmtId="167" formatCode="#,##0\ _€"/>
    <numFmt numFmtId="168" formatCode="#,##0.0\ _€"/>
    <numFmt numFmtId="169" formatCode="#,##0.00\ _€"/>
    <numFmt numFmtId="170" formatCode="#,##0\ &quot;€&quot;"/>
    <numFmt numFmtId="171" formatCode="0.0"/>
    <numFmt numFmtId="172" formatCode="#,##0.000\ _€"/>
    <numFmt numFmtId="173" formatCode="_-* #,##0\ _€_-;\-* #,##0\ _€_-;_-* &quot;-&quot;??\ _€_-;_-@_-"/>
  </numFmts>
  <fonts count="119">
    <font>
      <sz val="10"/>
      <name val="Arial"/>
      <family val="2"/>
    </font>
    <font>
      <sz val="11"/>
      <color theme="1"/>
      <name val="Calibri"/>
      <family val="2"/>
      <scheme val="minor"/>
    </font>
    <font>
      <sz val="11"/>
      <color theme="1"/>
      <name val="Arial Narrow"/>
      <family val="2"/>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Arial"/>
      <family val="2"/>
    </font>
    <font>
      <sz val="8"/>
      <color theme="0"/>
      <name val="Tahoma"/>
      <family val="2"/>
    </font>
    <font>
      <sz val="8"/>
      <color theme="1"/>
      <name val="Tahoma"/>
      <family val="2"/>
    </font>
    <font>
      <sz val="8"/>
      <name val="Tahoma"/>
      <family val="2"/>
    </font>
    <font>
      <i/>
      <sz val="8"/>
      <color theme="1"/>
      <name val="Tahoma"/>
      <family val="2"/>
    </font>
    <font>
      <i/>
      <sz val="8"/>
      <name val="Tahoma"/>
      <family val="2"/>
    </font>
    <font>
      <b/>
      <sz val="8"/>
      <name val="Tahoma"/>
      <family val="2"/>
    </font>
    <font>
      <i/>
      <sz val="7"/>
      <name val="Tahoma"/>
      <family val="2"/>
    </font>
    <font>
      <sz val="11"/>
      <color theme="1"/>
      <name val="Arial"/>
      <family val="2"/>
    </font>
    <font>
      <sz val="9"/>
      <color theme="1"/>
      <name val="Tahoma"/>
      <family val="2"/>
    </font>
    <font>
      <sz val="7"/>
      <name val="Tahoma"/>
      <family val="2"/>
    </font>
    <font>
      <sz val="10"/>
      <name val="Tahoma"/>
      <family val="2"/>
    </font>
    <font>
      <sz val="14"/>
      <name val="Tahoma"/>
      <family val="2"/>
    </font>
    <font>
      <sz val="10"/>
      <color rgb="FFFF0000"/>
      <name val="Arial"/>
      <family val="2"/>
    </font>
    <font>
      <sz val="10"/>
      <color theme="0"/>
      <name val="Arial"/>
      <family val="2"/>
    </font>
    <font>
      <sz val="10"/>
      <color theme="0"/>
      <name val="Wingdings"/>
      <charset val="2"/>
    </font>
    <font>
      <sz val="11"/>
      <color theme="0"/>
      <name val="Arial"/>
      <family val="2"/>
    </font>
    <font>
      <sz val="11"/>
      <name val="Arial"/>
      <family val="2"/>
    </font>
    <font>
      <b/>
      <sz val="11"/>
      <name val="Arial"/>
      <family val="2"/>
    </font>
    <font>
      <i/>
      <sz val="7"/>
      <color theme="1"/>
      <name val="Tahoma"/>
      <family val="2"/>
    </font>
    <font>
      <b/>
      <sz val="12"/>
      <color theme="9" tint="-0.249977111117893"/>
      <name val="Tahoma"/>
      <family val="2"/>
    </font>
    <font>
      <b/>
      <sz val="12"/>
      <color theme="9" tint="-0.249977111117893"/>
      <name val="Arial"/>
      <family val="2"/>
    </font>
    <font>
      <sz val="10"/>
      <color theme="1"/>
      <name val="Arial"/>
      <family val="2"/>
    </font>
    <font>
      <sz val="5"/>
      <name val="Tahoma"/>
      <family val="2"/>
    </font>
    <font>
      <sz val="5"/>
      <name val="Arial"/>
      <family val="2"/>
    </font>
    <font>
      <sz val="10"/>
      <color rgb="FFBD015C"/>
      <name val="Arial"/>
      <family val="2"/>
    </font>
    <font>
      <b/>
      <sz val="15"/>
      <color theme="0"/>
      <name val="Arial Narrow"/>
      <family val="2"/>
    </font>
    <font>
      <sz val="8"/>
      <name val="Arial Narrow"/>
      <family val="2"/>
    </font>
    <font>
      <sz val="10"/>
      <name val="Arial Narrow"/>
      <family val="2"/>
    </font>
    <font>
      <b/>
      <sz val="9"/>
      <name val="Arial Narrow"/>
      <family val="2"/>
    </font>
    <font>
      <sz val="9"/>
      <name val="Arial Narrow"/>
      <family val="2"/>
    </font>
    <font>
      <i/>
      <sz val="9"/>
      <name val="Arial Narrow"/>
      <family val="2"/>
    </font>
    <font>
      <sz val="7"/>
      <color theme="1"/>
      <name val="Arial Narrow"/>
      <family val="2"/>
    </font>
    <font>
      <sz val="9"/>
      <color theme="0"/>
      <name val="Arial Narrow"/>
      <family val="2"/>
    </font>
    <font>
      <sz val="9"/>
      <color theme="1"/>
      <name val="Arial Narrow"/>
      <family val="2"/>
    </font>
    <font>
      <b/>
      <sz val="12"/>
      <color rgb="FF856176"/>
      <name val="Arial Narrow"/>
      <family val="2"/>
    </font>
    <font>
      <sz val="7"/>
      <name val=".Dialog 9"/>
      <family val="2"/>
    </font>
    <font>
      <sz val="7"/>
      <name val="Arial Narrow"/>
      <family val="2"/>
    </font>
    <font>
      <sz val="8"/>
      <color theme="0"/>
      <name val="Arial Narrow"/>
      <family val="2"/>
    </font>
    <font>
      <b/>
      <sz val="12"/>
      <color theme="9" tint="-0.249977111117893"/>
      <name val="Arial Narrow"/>
      <family val="2"/>
    </font>
    <font>
      <b/>
      <sz val="12"/>
      <color rgb="FFDD8047"/>
      <name val="Arial Narrow"/>
      <family val="2"/>
    </font>
    <font>
      <i/>
      <sz val="7"/>
      <name val="Arial Narrow"/>
      <family val="2"/>
    </font>
    <font>
      <b/>
      <u/>
      <sz val="12"/>
      <color rgb="FF856176"/>
      <name val="Arial Narrow"/>
      <family val="2"/>
    </font>
    <font>
      <u/>
      <sz val="10"/>
      <name val="Arial Narrow"/>
      <family val="2"/>
    </font>
    <font>
      <sz val="10"/>
      <color rgb="FF856176"/>
      <name val="Arial Narrow"/>
      <family val="2"/>
    </font>
    <font>
      <b/>
      <sz val="12"/>
      <color theme="3"/>
      <name val="Arial Narrow"/>
      <family val="2"/>
    </font>
    <font>
      <b/>
      <sz val="12"/>
      <color rgb="FF8DB579"/>
      <name val="Arial Narrow"/>
      <family val="2"/>
    </font>
    <font>
      <sz val="10"/>
      <color rgb="FF8DB579"/>
      <name val="Arial Narrow"/>
      <family val="2"/>
    </font>
    <font>
      <sz val="15"/>
      <name val="Arial Narrow"/>
      <family val="2"/>
    </font>
    <font>
      <b/>
      <sz val="12"/>
      <color rgb="FFD8B25C"/>
      <name val="Arial Narrow"/>
      <family val="2"/>
    </font>
    <font>
      <b/>
      <sz val="12"/>
      <color rgb="FFBD015C"/>
      <name val="Arial Narrow"/>
      <family val="2"/>
    </font>
    <font>
      <sz val="8.5"/>
      <color theme="0"/>
      <name val="Arial Narrow"/>
      <family val="2"/>
    </font>
    <font>
      <sz val="8.5"/>
      <color theme="1"/>
      <name val="Arial Narrow"/>
      <family val="2"/>
    </font>
    <font>
      <b/>
      <sz val="12"/>
      <color rgb="FFBEA387"/>
      <name val="Arial Narrow"/>
      <family val="2"/>
    </font>
    <font>
      <sz val="10"/>
      <color theme="1"/>
      <name val="Arial Narrow"/>
      <family val="2"/>
    </font>
    <font>
      <sz val="7"/>
      <color theme="0"/>
      <name val="Arial Narrow"/>
      <family val="2"/>
    </font>
    <font>
      <sz val="9"/>
      <color theme="4"/>
      <name val="Arial Narrow"/>
      <family val="2"/>
    </font>
    <font>
      <sz val="11"/>
      <color theme="0"/>
      <name val="Arial Narrow"/>
      <family val="2"/>
    </font>
    <font>
      <b/>
      <sz val="11"/>
      <color rgb="FFDD8047"/>
      <name val="Arial Narrow"/>
      <family val="2"/>
    </font>
    <font>
      <sz val="10"/>
      <color theme="0"/>
      <name val="Arial Narrow"/>
      <family val="2"/>
    </font>
    <font>
      <b/>
      <sz val="10"/>
      <color rgb="FFC00000"/>
      <name val="Arial Narrow"/>
      <family val="2"/>
    </font>
    <font>
      <b/>
      <sz val="10"/>
      <color rgb="FFBD015C"/>
      <name val="Arial Narrow"/>
      <family val="2"/>
    </font>
    <font>
      <i/>
      <sz val="10"/>
      <color theme="1"/>
      <name val="Arial Narrow"/>
      <family val="2"/>
    </font>
    <font>
      <sz val="10"/>
      <color indexed="8"/>
      <name val="Arial Narrow"/>
      <family val="2"/>
    </font>
    <font>
      <b/>
      <sz val="12"/>
      <color theme="0"/>
      <name val="Arial Narrow"/>
      <family val="2"/>
    </font>
    <font>
      <b/>
      <sz val="12"/>
      <color theme="1"/>
      <name val="Arial Narrow"/>
      <family val="2"/>
    </font>
    <font>
      <sz val="9"/>
      <color indexed="8"/>
      <name val="Arial Narrow"/>
      <family val="2"/>
    </font>
    <font>
      <sz val="12"/>
      <color theme="1"/>
      <name val="Arial Narrow"/>
      <family val="2"/>
    </font>
    <font>
      <sz val="12"/>
      <name val="Arial Narrow"/>
      <family val="2"/>
    </font>
    <font>
      <b/>
      <sz val="12"/>
      <name val="Arial Narrow"/>
      <family val="2"/>
    </font>
    <font>
      <sz val="11"/>
      <name val="Arial Narrow"/>
      <family val="2"/>
    </font>
    <font>
      <b/>
      <sz val="12"/>
      <color theme="5"/>
      <name val="Arial Narrow"/>
      <family val="2"/>
    </font>
    <font>
      <b/>
      <u/>
      <sz val="12"/>
      <color theme="5"/>
      <name val="Arial Narrow"/>
      <family val="2"/>
    </font>
    <font>
      <b/>
      <sz val="10"/>
      <color rgb="FFFF0000"/>
      <name val="Arial"/>
      <family val="2"/>
    </font>
    <font>
      <i/>
      <sz val="10"/>
      <name val="Arial Narrow"/>
      <family val="2"/>
    </font>
    <font>
      <sz val="10"/>
      <color theme="4"/>
      <name val="Arial Narrow"/>
      <family val="2"/>
    </font>
    <font>
      <sz val="10"/>
      <color theme="4"/>
      <name val="Arial"/>
      <family val="2"/>
    </font>
    <font>
      <sz val="11"/>
      <color theme="4"/>
      <name val="Arial"/>
      <family val="2"/>
    </font>
    <font>
      <i/>
      <sz val="8"/>
      <name val="Arial Narrow"/>
      <family val="2"/>
    </font>
    <font>
      <b/>
      <sz val="11"/>
      <color theme="0"/>
      <name val="Arial"/>
      <family val="2"/>
    </font>
    <font>
      <b/>
      <sz val="11"/>
      <color theme="4"/>
      <name val="Arial"/>
      <family val="2"/>
    </font>
    <font>
      <b/>
      <sz val="10"/>
      <color theme="1"/>
      <name val="Arial Narrow"/>
      <family val="2"/>
    </font>
    <font>
      <b/>
      <sz val="9"/>
      <color theme="1"/>
      <name val="Arial Narrow"/>
      <family val="2"/>
    </font>
    <font>
      <sz val="5"/>
      <name val="Arial Narrow"/>
      <family val="2"/>
    </font>
    <font>
      <b/>
      <sz val="11"/>
      <color theme="0"/>
      <name val="Arial Narrow"/>
      <family val="2"/>
    </font>
    <font>
      <sz val="11"/>
      <color indexed="8"/>
      <name val="Arial Narrow"/>
      <family val="2"/>
    </font>
    <font>
      <i/>
      <sz val="5"/>
      <name val="Arial Narrow"/>
      <family val="2"/>
    </font>
    <font>
      <b/>
      <sz val="13"/>
      <color theme="1"/>
      <name val="Arial Narrow"/>
      <family val="2"/>
    </font>
    <font>
      <sz val="13"/>
      <name val="Arial Narrow"/>
      <family val="2"/>
    </font>
    <font>
      <sz val="13"/>
      <color rgb="FFDD8047"/>
      <name val="Arial Narrow"/>
      <family val="2"/>
    </font>
    <font>
      <sz val="12"/>
      <color theme="0"/>
      <name val="Arial Narrow"/>
      <family val="2"/>
    </font>
    <font>
      <b/>
      <sz val="12"/>
      <color rgb="FF67A6A5"/>
      <name val="Arial Narrow"/>
      <family val="2"/>
    </font>
    <font>
      <b/>
      <i/>
      <sz val="8"/>
      <name val="Arial Narrow"/>
      <family val="2"/>
    </font>
    <font>
      <b/>
      <sz val="12"/>
      <color rgb="FFFB7303"/>
      <name val="Arial"/>
      <family val="2"/>
    </font>
    <font>
      <sz val="10"/>
      <color rgb="FFFB7303"/>
      <name val="Arial"/>
      <family val="2"/>
    </font>
    <font>
      <b/>
      <sz val="12"/>
      <color rgb="FFFF0000"/>
      <name val="Arial Narrow"/>
      <family val="2"/>
    </font>
    <font>
      <b/>
      <sz val="10"/>
      <color rgb="FFFF0000"/>
      <name val="Arial Narrow"/>
      <family val="2"/>
    </font>
    <font>
      <sz val="12"/>
      <color rgb="FFFF0000"/>
      <name val="Arial Narrow"/>
      <family val="2"/>
    </font>
    <font>
      <sz val="11"/>
      <color rgb="FFFF0000"/>
      <name val="Arial Narrow"/>
      <family val="2"/>
    </font>
    <font>
      <sz val="11"/>
      <color rgb="FFFF0000"/>
      <name val="Arial"/>
      <family val="2"/>
    </font>
    <font>
      <b/>
      <sz val="11"/>
      <color rgb="FFFF0000"/>
      <name val="Arial"/>
      <family val="2"/>
    </font>
    <font>
      <b/>
      <vertAlign val="superscript"/>
      <sz val="9"/>
      <color rgb="FFDD8047"/>
      <name val="Arial Narrow"/>
      <family val="2"/>
    </font>
    <font>
      <b/>
      <i/>
      <vertAlign val="superscript"/>
      <sz val="8"/>
      <color rgb="FFDD8047"/>
      <name val="Arial Narrow"/>
      <family val="2"/>
    </font>
    <font>
      <b/>
      <sz val="10"/>
      <name val="Arial"/>
      <family val="2"/>
    </font>
    <font>
      <b/>
      <sz val="10"/>
      <color theme="3"/>
      <name val="Arial Narrow"/>
      <family val="2"/>
    </font>
    <font>
      <b/>
      <sz val="14"/>
      <color theme="1"/>
      <name val="Arial Narrow"/>
      <family val="2"/>
    </font>
    <font>
      <i/>
      <sz val="5"/>
      <name val="Tahoma"/>
      <family val="2"/>
    </font>
    <font>
      <b/>
      <sz val="8"/>
      <color theme="0"/>
      <name val="Tahoma"/>
      <family val="2"/>
    </font>
    <font>
      <i/>
      <sz val="9"/>
      <color theme="0"/>
      <name val="Arial Narrow"/>
      <family val="2"/>
    </font>
    <font>
      <b/>
      <sz val="5"/>
      <name val="Tahoma"/>
      <family val="2"/>
    </font>
    <font>
      <sz val="9"/>
      <color theme="0" tint="-0.499984740745262"/>
      <name val="Arial Narrow"/>
      <family val="2"/>
    </font>
  </fonts>
  <fills count="44">
    <fill>
      <patternFill patternType="none"/>
    </fill>
    <fill>
      <patternFill patternType="gray125"/>
    </fill>
    <fill>
      <patternFill patternType="solid">
        <fgColor rgb="FF4C4545"/>
        <bgColor indexed="64"/>
      </patternFill>
    </fill>
    <fill>
      <patternFill patternType="solid">
        <fgColor theme="0"/>
        <bgColor indexed="64"/>
      </patternFill>
    </fill>
    <fill>
      <patternFill patternType="solid">
        <fgColor rgb="FF7BA79D"/>
        <bgColor indexed="64"/>
      </patternFill>
    </fill>
    <fill>
      <patternFill patternType="solid">
        <fgColor rgb="FFBCD2CD"/>
        <bgColor indexed="64"/>
      </patternFill>
    </fill>
    <fill>
      <patternFill patternType="solid">
        <fgColor rgb="FFD8B25C"/>
        <bgColor indexed="64"/>
      </patternFill>
    </fill>
    <fill>
      <patternFill patternType="solid">
        <fgColor rgb="FFBD015C"/>
        <bgColor indexed="64"/>
      </patternFill>
    </fill>
    <fill>
      <patternFill patternType="solid">
        <fgColor rgb="FFABB6C1"/>
        <bgColor indexed="64"/>
      </patternFill>
    </fill>
    <fill>
      <patternFill patternType="solid">
        <fgColor rgb="FF647586"/>
        <bgColor indexed="64"/>
      </patternFill>
    </fill>
    <fill>
      <patternFill patternType="solid">
        <fgColor rgb="FFE9ECEF"/>
        <bgColor indexed="64"/>
      </patternFill>
    </fill>
    <fill>
      <patternFill patternType="solid">
        <fgColor rgb="FF856176"/>
        <bgColor indexed="64"/>
      </patternFill>
    </fill>
    <fill>
      <patternFill patternType="solid">
        <fgColor rgb="FFD1D7DD"/>
        <bgColor indexed="64"/>
      </patternFill>
    </fill>
    <fill>
      <patternFill patternType="solid">
        <fgColor rgb="FFDD8047"/>
        <bgColor indexed="64"/>
      </patternFill>
    </fill>
    <fill>
      <patternFill patternType="solid">
        <fgColor rgb="FF128E90"/>
        <bgColor indexed="64"/>
      </patternFill>
    </fill>
    <fill>
      <patternFill patternType="solid">
        <fgColor rgb="FFBEA387"/>
        <bgColor indexed="64"/>
      </patternFill>
    </fill>
    <fill>
      <patternFill patternType="solid">
        <fgColor rgb="FF8DB579"/>
        <bgColor indexed="64"/>
      </patternFill>
    </fill>
    <fill>
      <patternFill patternType="solid">
        <fgColor rgb="FFE5DBE1"/>
        <bgColor indexed="64"/>
      </patternFill>
    </fill>
    <fill>
      <patternFill patternType="solid">
        <fgColor rgb="FFE1F1F3"/>
        <bgColor indexed="64"/>
      </patternFill>
    </fill>
    <fill>
      <patternFill patternType="solid">
        <fgColor rgb="FFEDF3E9"/>
        <bgColor indexed="64"/>
      </patternFill>
    </fill>
    <fill>
      <patternFill patternType="solid">
        <fgColor rgb="FFFAEBE2"/>
        <bgColor indexed="64"/>
      </patternFill>
    </fill>
    <fill>
      <patternFill patternType="solid">
        <fgColor rgb="FFFCF9F2"/>
        <bgColor indexed="64"/>
      </patternFill>
    </fill>
    <fill>
      <patternFill patternType="solid">
        <fgColor theme="5"/>
        <bgColor indexed="64"/>
      </patternFill>
    </fill>
    <fill>
      <patternFill patternType="solid">
        <fgColor rgb="FF5B62B7"/>
        <bgColor indexed="64"/>
      </patternFill>
    </fill>
    <fill>
      <patternFill patternType="solid">
        <fgColor rgb="FFCACCE8"/>
        <bgColor indexed="64"/>
      </patternFill>
    </fill>
    <fill>
      <patternFill patternType="solid">
        <fgColor rgb="FF9BC7CE"/>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rgb="FF67A6A5"/>
        <bgColor indexed="64"/>
      </patternFill>
    </fill>
    <fill>
      <patternFill patternType="solid">
        <fgColor rgb="FFD2E4E4"/>
        <bgColor indexed="64"/>
      </patternFill>
    </fill>
    <fill>
      <patternFill patternType="solid">
        <fgColor rgb="FF242852"/>
        <bgColor indexed="64"/>
      </patternFill>
    </fill>
    <fill>
      <patternFill patternType="solid">
        <fgColor rgb="FFF4E9D0"/>
        <bgColor indexed="64"/>
      </patternFill>
    </fill>
    <fill>
      <patternFill patternType="solid">
        <fgColor rgb="FFF5EAD3"/>
        <bgColor indexed="64"/>
      </patternFill>
    </fill>
    <fill>
      <patternFill patternType="solid">
        <fgColor theme="3" tint="0.59999389629810485"/>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rgb="FFECE4DC"/>
        <bgColor indexed="64"/>
      </patternFill>
    </fill>
    <fill>
      <patternFill patternType="solid">
        <fgColor theme="0" tint="-0.14999847407452621"/>
        <bgColor indexed="64"/>
      </patternFill>
    </fill>
    <fill>
      <patternFill patternType="solid">
        <fgColor theme="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dashed">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right/>
      <top style="dashed">
        <color rgb="FFDD8047"/>
      </top>
      <bottom style="dashed">
        <color rgb="FFDD8047"/>
      </bottom>
      <diagonal/>
    </border>
    <border>
      <left/>
      <right/>
      <top style="medium">
        <color rgb="FF0070C0"/>
      </top>
      <bottom/>
      <diagonal/>
    </border>
    <border>
      <left style="medium">
        <color rgb="FF0070C0"/>
      </left>
      <right style="medium">
        <color rgb="FF0070C0"/>
      </right>
      <top style="thin">
        <color indexed="64"/>
      </top>
      <bottom style="thin">
        <color indexed="64"/>
      </bottom>
      <diagonal/>
    </border>
    <border>
      <left/>
      <right style="thin">
        <color indexed="64"/>
      </right>
      <top/>
      <bottom/>
      <diagonal/>
    </border>
    <border>
      <left/>
      <right/>
      <top/>
      <bottom style="dashed">
        <color rgb="FFBD015C"/>
      </bottom>
      <diagonal/>
    </border>
    <border>
      <left/>
      <right/>
      <top style="dashed">
        <color rgb="FFBD015C"/>
      </top>
      <bottom/>
      <diagonal/>
    </border>
    <border>
      <left/>
      <right/>
      <top style="dashed">
        <color rgb="FF856176"/>
      </top>
      <bottom/>
      <diagonal/>
    </border>
    <border>
      <left/>
      <right/>
      <top/>
      <bottom style="dashed">
        <color rgb="FF856176"/>
      </bottom>
      <diagonal/>
    </border>
    <border>
      <left/>
      <right/>
      <top style="dashed">
        <color rgb="FF8DB579"/>
      </top>
      <bottom/>
      <diagonal/>
    </border>
    <border>
      <left/>
      <right/>
      <top/>
      <bottom style="dashed">
        <color rgb="FF8DB579"/>
      </bottom>
      <diagonal/>
    </border>
    <border>
      <left/>
      <right/>
      <top style="dashed">
        <color rgb="FFBEA387"/>
      </top>
      <bottom/>
      <diagonal/>
    </border>
    <border>
      <left/>
      <right/>
      <top/>
      <bottom style="dashed">
        <color rgb="FFBEA387"/>
      </bottom>
      <diagonal/>
    </border>
    <border>
      <left/>
      <right/>
      <top style="dashed">
        <color rgb="FFD8B25C"/>
      </top>
      <bottom/>
      <diagonal/>
    </border>
    <border>
      <left/>
      <right/>
      <top/>
      <bottom style="dashed">
        <color rgb="FFD8B25C"/>
      </bottom>
      <diagonal/>
    </border>
    <border>
      <left/>
      <right/>
      <top style="dashed">
        <color rgb="FFDD8047"/>
      </top>
      <bottom/>
      <diagonal/>
    </border>
    <border>
      <left/>
      <right/>
      <top/>
      <bottom style="dashed">
        <color rgb="FFDD8047"/>
      </bottom>
      <diagonal/>
    </border>
    <border>
      <left style="thin">
        <color indexed="64"/>
      </left>
      <right/>
      <top style="thin">
        <color indexed="64"/>
      </top>
      <bottom style="thin">
        <color rgb="FFBEC7D0"/>
      </bottom>
      <diagonal/>
    </border>
    <border>
      <left/>
      <right/>
      <top style="dashed">
        <color theme="5"/>
      </top>
      <bottom/>
      <diagonal/>
    </border>
    <border>
      <left/>
      <right/>
      <top/>
      <bottom style="dashed">
        <color theme="5"/>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rgb="FF0070C0"/>
      </left>
      <right style="medium">
        <color rgb="FF0070C0"/>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dashed">
        <color auto="1"/>
      </top>
      <bottom/>
      <diagonal/>
    </border>
    <border>
      <left style="medium">
        <color rgb="FF0070C0"/>
      </left>
      <right style="medium">
        <color rgb="FF0070C0"/>
      </right>
      <top style="thin">
        <color theme="1"/>
      </top>
      <bottom/>
      <diagonal/>
    </border>
  </borders>
  <cellStyleXfs count="15">
    <xf numFmtId="0" fontId="0" fillId="0" borderId="0"/>
    <xf numFmtId="9" fontId="6" fillId="0" borderId="0" applyFont="0" applyFill="0" applyBorder="0" applyAlignment="0" applyProtection="0"/>
    <xf numFmtId="0" fontId="16" fillId="0" borderId="0"/>
    <xf numFmtId="9" fontId="5" fillId="0" borderId="0" applyFont="0" applyFill="0" applyBorder="0" applyAlignment="0" applyProtection="0"/>
    <xf numFmtId="0" fontId="7" fillId="0" borderId="0"/>
    <xf numFmtId="0" fontId="7" fillId="0" borderId="0"/>
    <xf numFmtId="0" fontId="5" fillId="0" borderId="0"/>
    <xf numFmtId="9" fontId="4"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cellStyleXfs>
  <cellXfs count="1463">
    <xf numFmtId="0" fontId="0" fillId="0" borderId="0" xfId="0"/>
    <xf numFmtId="0" fontId="0" fillId="0" borderId="0" xfId="0" applyAlignment="1">
      <alignment vertical="center"/>
    </xf>
    <xf numFmtId="0" fontId="15" fillId="0" borderId="0" xfId="0" applyFont="1" applyBorder="1" applyAlignment="1"/>
    <xf numFmtId="0" fontId="19" fillId="0" borderId="0" xfId="0" applyFont="1"/>
    <xf numFmtId="0" fontId="20" fillId="0" borderId="0" xfId="0" applyFont="1"/>
    <xf numFmtId="0" fontId="19" fillId="0" borderId="0" xfId="0" applyFont="1" applyBorder="1"/>
    <xf numFmtId="0" fontId="21" fillId="0" borderId="0" xfId="0" applyFont="1"/>
    <xf numFmtId="0" fontId="0" fillId="0" borderId="0" xfId="0" applyFill="1"/>
    <xf numFmtId="0" fontId="11" fillId="0" borderId="0" xfId="0" applyFont="1" applyBorder="1"/>
    <xf numFmtId="165" fontId="0" fillId="0" borderId="0" xfId="1" applyNumberFormat="1" applyFont="1"/>
    <xf numFmtId="167" fontId="0" fillId="0" borderId="0" xfId="0" applyNumberFormat="1"/>
    <xf numFmtId="165" fontId="13" fillId="0" borderId="0" xfId="1" applyNumberFormat="1" applyFont="1" applyBorder="1" applyAlignment="1">
      <alignment horizontal="right"/>
    </xf>
    <xf numFmtId="0" fontId="27" fillId="3" borderId="0" xfId="0" applyFont="1" applyFill="1" applyBorder="1" applyAlignment="1">
      <alignment horizontal="left"/>
    </xf>
    <xf numFmtId="0" fontId="19" fillId="3" borderId="0" xfId="0" applyFont="1" applyFill="1"/>
    <xf numFmtId="0" fontId="0" fillId="3" borderId="0" xfId="0" applyFill="1"/>
    <xf numFmtId="0" fontId="15" fillId="3" borderId="0" xfId="0" applyFont="1" applyFill="1" applyBorder="1" applyAlignment="1"/>
    <xf numFmtId="0" fontId="15" fillId="3" borderId="0" xfId="0" applyFont="1" applyFill="1" applyBorder="1" applyAlignment="1">
      <alignment horizontal="left"/>
    </xf>
    <xf numFmtId="167" fontId="0" fillId="3" borderId="0" xfId="0" applyNumberFormat="1" applyFill="1"/>
    <xf numFmtId="165" fontId="0" fillId="3" borderId="0" xfId="1" applyNumberFormat="1" applyFont="1" applyFill="1"/>
    <xf numFmtId="0" fontId="19" fillId="0" borderId="0" xfId="0" applyFont="1" applyAlignment="1">
      <alignment vertical="center"/>
    </xf>
    <xf numFmtId="0" fontId="0" fillId="3" borderId="0" xfId="0" applyFill="1" applyAlignment="1">
      <alignment vertical="center"/>
    </xf>
    <xf numFmtId="0" fontId="15" fillId="3" borderId="0" xfId="0" applyFont="1" applyFill="1"/>
    <xf numFmtId="167" fontId="19" fillId="0" borderId="0" xfId="0" applyNumberFormat="1" applyFont="1" applyAlignment="1">
      <alignment vertical="center"/>
    </xf>
    <xf numFmtId="0" fontId="0" fillId="0" borderId="0" xfId="0" applyBorder="1" applyAlignment="1">
      <alignment vertical="center"/>
    </xf>
    <xf numFmtId="0" fontId="0" fillId="0" borderId="0" xfId="0" applyFill="1" applyAlignment="1">
      <alignment vertical="center"/>
    </xf>
    <xf numFmtId="0" fontId="0" fillId="0" borderId="0" xfId="0" applyAlignment="1">
      <alignment horizontal="right" vertical="center"/>
    </xf>
    <xf numFmtId="167" fontId="11" fillId="3" borderId="0" xfId="0" applyNumberFormat="1" applyFont="1" applyFill="1" applyBorder="1" applyAlignment="1">
      <alignment horizontal="left" vertical="center"/>
    </xf>
    <xf numFmtId="0" fontId="15" fillId="3" borderId="0" xfId="0" applyFont="1" applyFill="1" applyBorder="1" applyAlignment="1">
      <alignment vertical="center"/>
    </xf>
    <xf numFmtId="0" fontId="19" fillId="3" borderId="0" xfId="0" applyFont="1" applyFill="1" applyAlignment="1">
      <alignment vertical="center"/>
    </xf>
    <xf numFmtId="0" fontId="19" fillId="0" borderId="0" xfId="0" applyFont="1" applyFill="1" applyAlignment="1">
      <alignment vertical="center"/>
    </xf>
    <xf numFmtId="0" fontId="15" fillId="0" borderId="0" xfId="0" applyFont="1" applyFill="1" applyBorder="1" applyAlignment="1">
      <alignment horizontal="left" vertical="center"/>
    </xf>
    <xf numFmtId="0" fontId="19" fillId="0" borderId="0" xfId="0" applyFont="1" applyFill="1"/>
    <xf numFmtId="0" fontId="17" fillId="3" borderId="0" xfId="0" applyFont="1" applyFill="1" applyAlignment="1">
      <alignment horizontal="left" vertical="center" wrapText="1"/>
    </xf>
    <xf numFmtId="0" fontId="15" fillId="3" borderId="0" xfId="0" applyFont="1" applyFill="1" applyBorder="1" applyAlignment="1">
      <alignment horizontal="left" vertical="center"/>
    </xf>
    <xf numFmtId="165" fontId="19" fillId="0" borderId="0" xfId="0" applyNumberFormat="1" applyFont="1" applyAlignment="1">
      <alignment vertical="center"/>
    </xf>
    <xf numFmtId="3" fontId="19" fillId="0" borderId="0" xfId="0" applyNumberFormat="1" applyFont="1" applyAlignment="1">
      <alignment vertical="center"/>
    </xf>
    <xf numFmtId="0" fontId="15" fillId="3" borderId="0" xfId="0" applyFont="1" applyFill="1" applyBorder="1" applyAlignment="1">
      <alignment horizontal="left"/>
    </xf>
    <xf numFmtId="165" fontId="11" fillId="0" borderId="0" xfId="0" applyNumberFormat="1" applyFont="1" applyAlignment="1">
      <alignment horizontal="left" indent="2"/>
    </xf>
    <xf numFmtId="167" fontId="8" fillId="0" borderId="0" xfId="0" applyNumberFormat="1" applyFont="1"/>
    <xf numFmtId="0" fontId="19" fillId="10" borderId="0" xfId="0" applyFont="1" applyFill="1"/>
    <xf numFmtId="0" fontId="0" fillId="10" borderId="0" xfId="0" applyFill="1"/>
    <xf numFmtId="0" fontId="15" fillId="10" borderId="0" xfId="0" applyFont="1" applyFill="1" applyBorder="1"/>
    <xf numFmtId="0" fontId="19" fillId="10" borderId="0" xfId="0" applyFont="1" applyFill="1" applyAlignment="1">
      <alignment vertical="center"/>
    </xf>
    <xf numFmtId="0" fontId="23" fillId="7" borderId="0" xfId="0" applyFont="1" applyFill="1" applyAlignment="1">
      <alignment horizontal="right"/>
    </xf>
    <xf numFmtId="0" fontId="22" fillId="7" borderId="0" xfId="0" applyFont="1" applyFill="1"/>
    <xf numFmtId="0" fontId="24" fillId="11" borderId="0" xfId="0" applyFont="1" applyFill="1"/>
    <xf numFmtId="0" fontId="23" fillId="11" borderId="0" xfId="0" applyFont="1" applyFill="1" applyAlignment="1">
      <alignment horizontal="right"/>
    </xf>
    <xf numFmtId="0" fontId="22" fillId="11" borderId="0" xfId="0" applyFont="1" applyFill="1"/>
    <xf numFmtId="0" fontId="26" fillId="13" borderId="0" xfId="0" applyFont="1" applyFill="1"/>
    <xf numFmtId="0" fontId="23" fillId="13" borderId="0" xfId="0" applyFont="1" applyFill="1" applyAlignment="1">
      <alignment horizontal="right"/>
    </xf>
    <xf numFmtId="0" fontId="22" fillId="13" borderId="0" xfId="0" applyFont="1" applyFill="1"/>
    <xf numFmtId="9" fontId="8" fillId="0" borderId="0" xfId="1" applyNumberFormat="1" applyFont="1"/>
    <xf numFmtId="0" fontId="37" fillId="3" borderId="0" xfId="0" applyFont="1" applyFill="1" applyAlignment="1">
      <alignment vertical="center" wrapText="1"/>
    </xf>
    <xf numFmtId="0" fontId="37" fillId="3" borderId="0" xfId="0" applyFont="1" applyFill="1" applyBorder="1" applyAlignment="1">
      <alignment vertical="center" wrapText="1"/>
    </xf>
    <xf numFmtId="0" fontId="44" fillId="3" borderId="0" xfId="0" applyFont="1" applyFill="1" applyBorder="1" applyAlignment="1">
      <alignment horizontal="left"/>
    </xf>
    <xf numFmtId="0" fontId="36" fillId="0" borderId="0" xfId="0" applyFont="1"/>
    <xf numFmtId="0" fontId="36" fillId="3" borderId="0" xfId="0" applyFont="1" applyFill="1"/>
    <xf numFmtId="0" fontId="35" fillId="3" borderId="0" xfId="0" applyFont="1" applyFill="1" applyBorder="1"/>
    <xf numFmtId="167" fontId="35" fillId="3" borderId="0" xfId="0" applyNumberFormat="1" applyFont="1" applyFill="1" applyBorder="1" applyAlignment="1">
      <alignment horizontal="right"/>
    </xf>
    <xf numFmtId="167" fontId="36" fillId="0" borderId="0" xfId="0" applyNumberFormat="1" applyFont="1"/>
    <xf numFmtId="0" fontId="46" fillId="0" borderId="0" xfId="0" applyFont="1" applyFill="1" applyBorder="1" applyAlignment="1">
      <alignment horizontal="center" vertical="center" wrapText="1"/>
    </xf>
    <xf numFmtId="0" fontId="36" fillId="0" borderId="0" xfId="0" applyFont="1" applyAlignment="1">
      <alignment vertical="top"/>
    </xf>
    <xf numFmtId="0" fontId="36" fillId="3" borderId="0" xfId="0" applyFont="1" applyFill="1" applyAlignment="1">
      <alignment vertical="top"/>
    </xf>
    <xf numFmtId="0" fontId="36" fillId="0" borderId="0" xfId="0" applyFont="1" applyAlignment="1">
      <alignment vertical="center"/>
    </xf>
    <xf numFmtId="0" fontId="49" fillId="3" borderId="0" xfId="0" applyFont="1" applyFill="1" applyBorder="1" applyAlignment="1">
      <alignment horizontal="left"/>
    </xf>
    <xf numFmtId="0" fontId="36" fillId="0" borderId="0" xfId="0" applyFont="1" applyFill="1"/>
    <xf numFmtId="0" fontId="38" fillId="0" borderId="0" xfId="0" applyFont="1"/>
    <xf numFmtId="0" fontId="51" fillId="0" borderId="0" xfId="0" applyFont="1"/>
    <xf numFmtId="0" fontId="38" fillId="3" borderId="0" xfId="0" applyFont="1" applyFill="1"/>
    <xf numFmtId="0" fontId="45" fillId="3" borderId="0" xfId="0" applyFont="1" applyFill="1" applyBorder="1" applyAlignment="1"/>
    <xf numFmtId="0" fontId="38" fillId="0" borderId="0" xfId="0" applyFont="1" applyAlignment="1">
      <alignment vertical="center"/>
    </xf>
    <xf numFmtId="0" fontId="38" fillId="3" borderId="0" xfId="0" applyFont="1" applyFill="1" applyAlignment="1">
      <alignment vertical="center"/>
    </xf>
    <xf numFmtId="167" fontId="38" fillId="3" borderId="0" xfId="0" applyNumberFormat="1" applyFont="1" applyFill="1" applyBorder="1" applyAlignment="1">
      <alignment horizontal="right"/>
    </xf>
    <xf numFmtId="0" fontId="47" fillId="0" borderId="0" xfId="0" applyFont="1" applyFill="1" applyBorder="1" applyAlignment="1"/>
    <xf numFmtId="0" fontId="36" fillId="0" borderId="0" xfId="0" applyFont="1" applyFill="1" applyBorder="1"/>
    <xf numFmtId="0" fontId="36" fillId="0" borderId="0" xfId="0" applyFont="1" applyFill="1" applyAlignment="1">
      <alignment vertical="center"/>
    </xf>
    <xf numFmtId="0" fontId="43" fillId="17" borderId="0" xfId="0" applyFont="1" applyFill="1" applyBorder="1" applyAlignment="1">
      <alignment horizontal="left" vertical="center" indent="3"/>
    </xf>
    <xf numFmtId="0" fontId="50" fillId="17" borderId="0" xfId="0" applyFont="1" applyFill="1" applyBorder="1" applyAlignment="1"/>
    <xf numFmtId="0" fontId="47" fillId="17" borderId="0" xfId="0" applyFont="1" applyFill="1" applyBorder="1" applyAlignment="1"/>
    <xf numFmtId="0" fontId="36" fillId="17" borderId="0" xfId="0" applyFont="1" applyFill="1"/>
    <xf numFmtId="0" fontId="43" fillId="17" borderId="0" xfId="0" applyFont="1" applyFill="1" applyBorder="1" applyAlignment="1"/>
    <xf numFmtId="0" fontId="52" fillId="17" borderId="0" xfId="0" applyFont="1" applyFill="1"/>
    <xf numFmtId="0" fontId="48" fillId="0" borderId="0" xfId="0" applyFont="1" applyFill="1" applyBorder="1" applyAlignment="1">
      <alignment horizontal="left" indent="3"/>
    </xf>
    <xf numFmtId="0" fontId="45" fillId="0" borderId="0" xfId="0" applyFont="1" applyFill="1" applyBorder="1" applyAlignment="1">
      <alignment vertical="top"/>
    </xf>
    <xf numFmtId="167" fontId="38" fillId="3" borderId="1" xfId="0" applyNumberFormat="1" applyFont="1" applyFill="1" applyBorder="1" applyAlignment="1">
      <alignment horizontal="right" vertical="center"/>
    </xf>
    <xf numFmtId="0" fontId="9" fillId="0" borderId="0" xfId="0" applyFont="1" applyFill="1" applyBorder="1" applyAlignment="1">
      <alignment horizontal="center" vertical="center"/>
    </xf>
    <xf numFmtId="0" fontId="29" fillId="18" borderId="0" xfId="0" applyFont="1" applyFill="1" applyBorder="1" applyAlignment="1"/>
    <xf numFmtId="0" fontId="53" fillId="18" borderId="0" xfId="0" applyFont="1" applyFill="1" applyBorder="1" applyAlignment="1">
      <alignment horizontal="left" indent="3"/>
    </xf>
    <xf numFmtId="0" fontId="0" fillId="19" borderId="0" xfId="0" applyFill="1" applyAlignment="1">
      <alignment vertical="center"/>
    </xf>
    <xf numFmtId="0" fontId="32" fillId="19" borderId="0" xfId="0" applyFont="1" applyFill="1" applyAlignment="1">
      <alignment vertical="center"/>
    </xf>
    <xf numFmtId="0" fontId="13" fillId="19" borderId="0" xfId="0" applyFont="1" applyFill="1" applyBorder="1" applyAlignment="1">
      <alignment horizontal="right" vertical="center" wrapText="1"/>
    </xf>
    <xf numFmtId="0" fontId="13" fillId="19" borderId="0" xfId="0" applyFont="1" applyFill="1" applyBorder="1" applyAlignment="1">
      <alignment horizontal="left" vertical="center" wrapText="1"/>
    </xf>
    <xf numFmtId="165" fontId="13" fillId="19" borderId="0" xfId="1" applyNumberFormat="1" applyFont="1" applyFill="1" applyBorder="1" applyAlignment="1">
      <alignment horizontal="right" vertical="center"/>
    </xf>
    <xf numFmtId="0" fontId="0" fillId="19" borderId="0" xfId="0" applyFill="1" applyBorder="1" applyAlignment="1">
      <alignment vertical="center"/>
    </xf>
    <xf numFmtId="0" fontId="54" fillId="19" borderId="0" xfId="0" applyFont="1" applyFill="1" applyBorder="1" applyAlignment="1">
      <alignment horizontal="left" indent="3"/>
    </xf>
    <xf numFmtId="0" fontId="54" fillId="19" borderId="0" xfId="0" applyFont="1" applyFill="1" applyBorder="1" applyAlignment="1">
      <alignment vertical="center"/>
    </xf>
    <xf numFmtId="0" fontId="55" fillId="19" borderId="0" xfId="0" applyFont="1" applyFill="1" applyBorder="1" applyAlignment="1">
      <alignment vertical="center"/>
    </xf>
    <xf numFmtId="0" fontId="36" fillId="3" borderId="0" xfId="0" applyFont="1" applyFill="1" applyAlignment="1">
      <alignment vertical="center"/>
    </xf>
    <xf numFmtId="0" fontId="36" fillId="19" borderId="0" xfId="0" applyFont="1" applyFill="1" applyAlignment="1">
      <alignment vertical="center"/>
    </xf>
    <xf numFmtId="0" fontId="56" fillId="0" borderId="0" xfId="0" applyFont="1" applyAlignment="1">
      <alignment vertical="center"/>
    </xf>
    <xf numFmtId="167" fontId="38" fillId="3" borderId="9" xfId="0" applyNumberFormat="1" applyFont="1" applyFill="1" applyBorder="1" applyAlignment="1">
      <alignment horizontal="right" vertical="center"/>
    </xf>
    <xf numFmtId="0" fontId="10" fillId="0" borderId="0" xfId="0" applyFont="1" applyFill="1" applyBorder="1" applyAlignment="1">
      <alignment horizontal="left" vertical="center" wrapText="1"/>
    </xf>
    <xf numFmtId="165" fontId="12" fillId="0" borderId="0" xfId="1" applyNumberFormat="1" applyFont="1" applyFill="1" applyBorder="1" applyAlignment="1">
      <alignment horizontal="right" vertical="center"/>
    </xf>
    <xf numFmtId="165" fontId="13" fillId="0" borderId="0" xfId="1" applyNumberFormat="1" applyFont="1" applyFill="1" applyBorder="1" applyAlignment="1">
      <alignment horizontal="right" vertical="center"/>
    </xf>
    <xf numFmtId="0" fontId="45" fillId="3" borderId="0" xfId="0" applyFont="1" applyFill="1" applyBorder="1" applyAlignment="1">
      <alignment horizontal="left" vertical="center"/>
    </xf>
    <xf numFmtId="0" fontId="49" fillId="3" borderId="0" xfId="0" applyFont="1" applyFill="1" applyBorder="1" applyAlignment="1">
      <alignment horizontal="left" vertical="center"/>
    </xf>
    <xf numFmtId="0" fontId="31" fillId="10" borderId="0" xfId="0" applyFont="1" applyFill="1" applyAlignment="1">
      <alignment horizontal="left" wrapText="1"/>
    </xf>
    <xf numFmtId="0" fontId="35" fillId="3" borderId="0" xfId="0" applyFont="1" applyFill="1" applyBorder="1" applyAlignment="1">
      <alignment horizontal="left" vertical="center"/>
    </xf>
    <xf numFmtId="0" fontId="45" fillId="3" borderId="0" xfId="0" applyFont="1" applyFill="1" applyBorder="1" applyAlignment="1">
      <alignment vertical="center"/>
    </xf>
    <xf numFmtId="167" fontId="38" fillId="3" borderId="10" xfId="0" applyNumberFormat="1" applyFont="1" applyFill="1" applyBorder="1" applyAlignment="1">
      <alignment horizontal="right" vertical="center"/>
    </xf>
    <xf numFmtId="0" fontId="0" fillId="20" borderId="0" xfId="0" applyFill="1"/>
    <xf numFmtId="0" fontId="58" fillId="10" borderId="0" xfId="0" applyFont="1" applyFill="1" applyBorder="1" applyAlignment="1">
      <alignment horizontal="left" indent="3"/>
    </xf>
    <xf numFmtId="0" fontId="28" fillId="10" borderId="0" xfId="0" applyFont="1" applyFill="1" applyBorder="1" applyAlignment="1"/>
    <xf numFmtId="0" fontId="0" fillId="10" borderId="0" xfId="0" applyFont="1" applyFill="1"/>
    <xf numFmtId="0" fontId="45" fillId="0" borderId="0" xfId="0" applyFont="1" applyFill="1" applyBorder="1"/>
    <xf numFmtId="166" fontId="42" fillId="3" borderId="1" xfId="3" applyNumberFormat="1" applyFont="1" applyFill="1" applyBorder="1" applyAlignment="1">
      <alignment horizontal="left" vertical="center" indent="2"/>
    </xf>
    <xf numFmtId="0" fontId="56" fillId="0" borderId="0" xfId="0" applyFont="1"/>
    <xf numFmtId="165" fontId="0" fillId="0" borderId="0" xfId="0" applyNumberFormat="1"/>
    <xf numFmtId="0" fontId="0" fillId="21" borderId="0" xfId="0" applyFill="1" applyAlignment="1">
      <alignment vertical="center"/>
    </xf>
    <xf numFmtId="0" fontId="45" fillId="0" borderId="0" xfId="0" applyFont="1" applyFill="1" applyBorder="1" applyAlignment="1">
      <alignment vertical="center"/>
    </xf>
    <xf numFmtId="0" fontId="38" fillId="3" borderId="0" xfId="0" applyFont="1" applyFill="1" applyBorder="1" applyAlignment="1">
      <alignment vertical="center"/>
    </xf>
    <xf numFmtId="167" fontId="64" fillId="3" borderId="0" xfId="0" applyNumberFormat="1" applyFont="1" applyFill="1" applyBorder="1" applyAlignment="1">
      <alignment horizontal="left"/>
    </xf>
    <xf numFmtId="0" fontId="45" fillId="0" borderId="0" xfId="0" applyFont="1"/>
    <xf numFmtId="165" fontId="38" fillId="3" borderId="1" xfId="1" applyNumberFormat="1" applyFont="1" applyFill="1" applyBorder="1" applyAlignment="1">
      <alignment horizontal="right" vertical="center" indent="1"/>
    </xf>
    <xf numFmtId="1" fontId="36" fillId="0" borderId="0" xfId="0" applyNumberFormat="1" applyFont="1" applyAlignment="1">
      <alignment vertical="center"/>
    </xf>
    <xf numFmtId="0" fontId="68" fillId="0" borderId="0" xfId="0" applyFont="1" applyAlignment="1">
      <alignment vertical="center"/>
    </xf>
    <xf numFmtId="0" fontId="67" fillId="0" borderId="0" xfId="0" applyFont="1" applyAlignment="1">
      <alignment vertical="center"/>
    </xf>
    <xf numFmtId="167" fontId="36" fillId="0" borderId="0" xfId="0" applyNumberFormat="1" applyFont="1" applyAlignment="1">
      <alignment vertical="center"/>
    </xf>
    <xf numFmtId="165" fontId="62" fillId="0" borderId="0" xfId="2" applyNumberFormat="1" applyFont="1" applyAlignment="1">
      <alignment horizontal="left" vertical="center"/>
    </xf>
    <xf numFmtId="165" fontId="36" fillId="0" borderId="0" xfId="1" applyNumberFormat="1" applyFont="1"/>
    <xf numFmtId="3" fontId="38" fillId="0" borderId="3" xfId="0" applyNumberFormat="1" applyFont="1" applyBorder="1" applyAlignment="1">
      <alignment horizontal="center" vertical="center"/>
    </xf>
    <xf numFmtId="167" fontId="42" fillId="0" borderId="9" xfId="2" applyNumberFormat="1" applyFont="1" applyBorder="1" applyAlignment="1">
      <alignment horizontal="center" vertical="center"/>
    </xf>
    <xf numFmtId="0" fontId="70" fillId="0" borderId="0" xfId="2" applyFont="1" applyAlignment="1">
      <alignment vertical="center"/>
    </xf>
    <xf numFmtId="0" fontId="70" fillId="0" borderId="0" xfId="2" applyFont="1" applyAlignment="1">
      <alignment vertical="center" wrapText="1"/>
    </xf>
    <xf numFmtId="0" fontId="68" fillId="0" borderId="0" xfId="2" applyFont="1" applyAlignment="1">
      <alignment horizontal="center" vertical="center"/>
    </xf>
    <xf numFmtId="165" fontId="38" fillId="0" borderId="3" xfId="1" applyNumberFormat="1" applyFont="1" applyBorder="1" applyAlignment="1">
      <alignment horizontal="center" vertical="center"/>
    </xf>
    <xf numFmtId="0" fontId="42" fillId="0" borderId="0" xfId="2" applyFont="1" applyAlignment="1">
      <alignment vertical="center"/>
    </xf>
    <xf numFmtId="0" fontId="76" fillId="0" borderId="0" xfId="0" applyFont="1"/>
    <xf numFmtId="0" fontId="48" fillId="0" borderId="0" xfId="0" applyFont="1" applyFill="1" applyAlignment="1">
      <alignment vertical="center"/>
    </xf>
    <xf numFmtId="0" fontId="62" fillId="0" borderId="0" xfId="2" applyFont="1" applyAlignment="1">
      <alignment vertical="center"/>
    </xf>
    <xf numFmtId="165" fontId="36" fillId="0" borderId="0" xfId="1" applyNumberFormat="1" applyFont="1" applyAlignment="1">
      <alignment vertical="center"/>
    </xf>
    <xf numFmtId="3" fontId="36" fillId="0" borderId="0" xfId="0" applyNumberFormat="1" applyFont="1"/>
    <xf numFmtId="1" fontId="41" fillId="0" borderId="0" xfId="0" applyNumberFormat="1" applyFont="1" applyFill="1" applyBorder="1" applyAlignment="1">
      <alignment vertical="center"/>
    </xf>
    <xf numFmtId="1" fontId="41" fillId="0" borderId="0" xfId="0" applyNumberFormat="1" applyFont="1" applyFill="1" applyBorder="1" applyAlignment="1">
      <alignment horizontal="left" vertical="center" wrapText="1"/>
    </xf>
    <xf numFmtId="3" fontId="42" fillId="0" borderId="0" xfId="1" applyNumberFormat="1" applyFont="1" applyFill="1" applyBorder="1" applyAlignment="1">
      <alignment horizontal="right" vertical="center"/>
    </xf>
    <xf numFmtId="3" fontId="38" fillId="0" borderId="0" xfId="1" applyNumberFormat="1" applyFont="1" applyFill="1" applyBorder="1" applyAlignment="1">
      <alignment horizontal="right" vertical="center"/>
    </xf>
    <xf numFmtId="0" fontId="0" fillId="0" borderId="0" xfId="0" applyFill="1" applyBorder="1"/>
    <xf numFmtId="1" fontId="38" fillId="0" borderId="0" xfId="0" applyNumberFormat="1" applyFont="1" applyFill="1" applyBorder="1" applyAlignment="1">
      <alignment vertical="center"/>
    </xf>
    <xf numFmtId="1" fontId="38" fillId="0" borderId="0" xfId="0" applyNumberFormat="1" applyFont="1" applyFill="1" applyBorder="1" applyAlignment="1">
      <alignment horizontal="left" vertical="center" wrapText="1"/>
    </xf>
    <xf numFmtId="165" fontId="42" fillId="0" borderId="0" xfId="1" applyNumberFormat="1" applyFont="1" applyFill="1" applyBorder="1" applyAlignment="1">
      <alignment horizontal="right" vertical="center"/>
    </xf>
    <xf numFmtId="165" fontId="38" fillId="0" borderId="0" xfId="1" applyNumberFormat="1" applyFont="1" applyFill="1" applyBorder="1" applyAlignment="1">
      <alignment horizontal="right" vertical="center"/>
    </xf>
    <xf numFmtId="9" fontId="0" fillId="0" borderId="0" xfId="1" applyFont="1" applyAlignment="1">
      <alignment vertical="center"/>
    </xf>
    <xf numFmtId="165" fontId="36" fillId="0" borderId="0" xfId="0" applyNumberFormat="1" applyFont="1"/>
    <xf numFmtId="165" fontId="36" fillId="0" borderId="0" xfId="0" applyNumberFormat="1" applyFont="1" applyAlignment="1">
      <alignment vertical="center"/>
    </xf>
    <xf numFmtId="0" fontId="82" fillId="0" borderId="0" xfId="2" applyFont="1" applyAlignment="1">
      <alignment vertical="center"/>
    </xf>
    <xf numFmtId="0" fontId="37" fillId="0" borderId="0" xfId="0" applyFont="1" applyFill="1" applyAlignment="1">
      <alignment vertical="center" wrapText="1"/>
    </xf>
    <xf numFmtId="0" fontId="84" fillId="0" borderId="0" xfId="0" applyFont="1"/>
    <xf numFmtId="0" fontId="85" fillId="11" borderId="0" xfId="0" applyFont="1" applyFill="1"/>
    <xf numFmtId="0" fontId="84" fillId="11" borderId="0" xfId="0" applyFont="1" applyFill="1"/>
    <xf numFmtId="0" fontId="87" fillId="11" borderId="0" xfId="0" applyFont="1" applyFill="1"/>
    <xf numFmtId="0" fontId="2" fillId="0" borderId="0" xfId="0" applyFont="1" applyAlignment="1">
      <alignment vertical="center"/>
    </xf>
    <xf numFmtId="0" fontId="75" fillId="0" borderId="0" xfId="2" applyFont="1" applyBorder="1" applyAlignment="1">
      <alignment vertical="center"/>
    </xf>
    <xf numFmtId="0" fontId="76" fillId="0" borderId="0" xfId="0" applyFont="1" applyBorder="1" applyAlignment="1">
      <alignment vertical="center"/>
    </xf>
    <xf numFmtId="0" fontId="75" fillId="0" borderId="0" xfId="0" applyFont="1" applyBorder="1" applyAlignment="1">
      <alignment vertical="center"/>
    </xf>
    <xf numFmtId="0" fontId="62" fillId="0" borderId="0" xfId="0" applyFont="1" applyAlignment="1">
      <alignment vertical="center"/>
    </xf>
    <xf numFmtId="167" fontId="42" fillId="0" borderId="17" xfId="2" applyNumberFormat="1" applyFont="1" applyBorder="1" applyAlignment="1">
      <alignment horizontal="center" vertical="center"/>
    </xf>
    <xf numFmtId="1" fontId="41" fillId="23" borderId="16" xfId="2" applyNumberFormat="1" applyFont="1" applyFill="1" applyBorder="1" applyAlignment="1">
      <alignment horizontal="left" vertical="center"/>
    </xf>
    <xf numFmtId="1" fontId="41" fillId="23" borderId="3" xfId="2" applyNumberFormat="1" applyFont="1" applyFill="1" applyBorder="1" applyAlignment="1">
      <alignment horizontal="left" vertical="center"/>
    </xf>
    <xf numFmtId="1" fontId="41" fillId="23" borderId="2" xfId="2" applyNumberFormat="1" applyFont="1" applyFill="1" applyBorder="1" applyAlignment="1">
      <alignment horizontal="left" vertical="center"/>
    </xf>
    <xf numFmtId="1" fontId="41" fillId="23" borderId="11" xfId="2" applyNumberFormat="1" applyFont="1" applyFill="1" applyBorder="1" applyAlignment="1">
      <alignment horizontal="left" vertical="center"/>
    </xf>
    <xf numFmtId="1" fontId="74" fillId="24" borderId="3" xfId="2" applyNumberFormat="1" applyFont="1" applyFill="1" applyBorder="1" applyAlignment="1">
      <alignment horizontal="left" vertical="center"/>
    </xf>
    <xf numFmtId="1" fontId="74" fillId="24" borderId="13" xfId="2" applyNumberFormat="1" applyFont="1" applyFill="1" applyBorder="1" applyAlignment="1">
      <alignment horizontal="left" vertical="center"/>
    </xf>
    <xf numFmtId="167" fontId="42" fillId="0" borderId="3" xfId="2" applyNumberFormat="1" applyFont="1" applyBorder="1" applyAlignment="1">
      <alignment horizontal="center" vertical="center"/>
    </xf>
    <xf numFmtId="167" fontId="42" fillId="0" borderId="22" xfId="2" applyNumberFormat="1" applyFont="1" applyBorder="1" applyAlignment="1">
      <alignment horizontal="center" vertical="center"/>
    </xf>
    <xf numFmtId="168" fontId="42" fillId="0" borderId="22" xfId="2" applyNumberFormat="1" applyFont="1" applyBorder="1" applyAlignment="1">
      <alignment horizontal="center" vertical="center"/>
    </xf>
    <xf numFmtId="167" fontId="42" fillId="0" borderId="6" xfId="0" applyNumberFormat="1" applyFont="1" applyFill="1" applyBorder="1" applyAlignment="1">
      <alignment horizontal="right" vertical="center"/>
    </xf>
    <xf numFmtId="167" fontId="42" fillId="0" borderId="10" xfId="0" applyNumberFormat="1" applyFont="1" applyFill="1" applyBorder="1" applyAlignment="1">
      <alignment horizontal="right" vertical="center"/>
    </xf>
    <xf numFmtId="0" fontId="42" fillId="0" borderId="0" xfId="0" applyFont="1"/>
    <xf numFmtId="0" fontId="42" fillId="0" borderId="0" xfId="0" applyFont="1" applyAlignment="1">
      <alignment vertical="center"/>
    </xf>
    <xf numFmtId="167" fontId="42" fillId="0" borderId="0" xfId="0" applyNumberFormat="1" applyFont="1" applyAlignment="1">
      <alignment vertical="center"/>
    </xf>
    <xf numFmtId="0" fontId="41" fillId="9" borderId="9" xfId="0" applyFont="1" applyFill="1" applyBorder="1" applyAlignment="1">
      <alignment vertical="center"/>
    </xf>
    <xf numFmtId="165" fontId="42" fillId="0" borderId="9" xfId="1" applyNumberFormat="1" applyFont="1" applyFill="1" applyBorder="1" applyAlignment="1">
      <alignment horizontal="right" vertical="center"/>
    </xf>
    <xf numFmtId="165" fontId="42" fillId="0" borderId="6" xfId="1" applyNumberFormat="1" applyFont="1" applyFill="1" applyBorder="1" applyAlignment="1">
      <alignment horizontal="right" vertical="center"/>
    </xf>
    <xf numFmtId="165" fontId="42" fillId="0" borderId="10" xfId="1" applyNumberFormat="1" applyFont="1" applyFill="1" applyBorder="1" applyAlignment="1">
      <alignment horizontal="right" vertical="center"/>
    </xf>
    <xf numFmtId="0" fontId="14" fillId="19" borderId="0" xfId="0" applyFont="1" applyFill="1" applyBorder="1" applyAlignment="1">
      <alignment horizontal="center" vertical="center"/>
    </xf>
    <xf numFmtId="0" fontId="40" fillId="0" borderId="0" xfId="0" applyFont="1" applyFill="1" applyBorder="1" applyAlignment="1">
      <alignment vertical="center"/>
    </xf>
    <xf numFmtId="0" fontId="40" fillId="0" borderId="0" xfId="0" applyFont="1" applyFill="1" applyBorder="1" applyAlignment="1"/>
    <xf numFmtId="167" fontId="42" fillId="12" borderId="1" xfId="0" applyNumberFormat="1" applyFont="1" applyFill="1" applyBorder="1" applyAlignment="1">
      <alignment horizontal="right" vertical="center"/>
    </xf>
    <xf numFmtId="167" fontId="42" fillId="12" borderId="9" xfId="0" applyNumberFormat="1" applyFont="1" applyFill="1" applyBorder="1" applyAlignment="1">
      <alignment horizontal="right" vertical="center"/>
    </xf>
    <xf numFmtId="0" fontId="42" fillId="12" borderId="35" xfId="0" applyFont="1" applyFill="1" applyBorder="1" applyAlignment="1">
      <alignment vertical="center"/>
    </xf>
    <xf numFmtId="0" fontId="38" fillId="3" borderId="9" xfId="0" applyFont="1" applyFill="1" applyBorder="1" applyAlignment="1">
      <alignment vertical="center"/>
    </xf>
    <xf numFmtId="1" fontId="41" fillId="9" borderId="16" xfId="0" applyNumberFormat="1" applyFont="1" applyFill="1" applyBorder="1" applyAlignment="1">
      <alignment horizontal="left" vertical="center"/>
    </xf>
    <xf numFmtId="1" fontId="41" fillId="9" borderId="2" xfId="0" applyNumberFormat="1" applyFont="1" applyFill="1" applyBorder="1" applyAlignment="1">
      <alignment horizontal="left" vertical="center"/>
    </xf>
    <xf numFmtId="0" fontId="40" fillId="0" borderId="0" xfId="0" applyFont="1" applyFill="1" applyBorder="1" applyAlignment="1">
      <alignment vertical="top"/>
    </xf>
    <xf numFmtId="0" fontId="41" fillId="9" borderId="11" xfId="0" applyFont="1" applyFill="1" applyBorder="1" applyAlignment="1">
      <alignment horizontal="left" vertical="center" wrapText="1"/>
    </xf>
    <xf numFmtId="0" fontId="38" fillId="8" borderId="11" xfId="0" applyFont="1" applyFill="1" applyBorder="1" applyAlignment="1">
      <alignment horizontal="left" vertical="center" wrapText="1"/>
    </xf>
    <xf numFmtId="0" fontId="41" fillId="9" borderId="3" xfId="0" applyFont="1" applyFill="1" applyBorder="1" applyAlignment="1">
      <alignment horizontal="left" vertical="center" wrapText="1"/>
    </xf>
    <xf numFmtId="0" fontId="38" fillId="8" borderId="22" xfId="0" applyFont="1" applyFill="1" applyBorder="1" applyAlignment="1">
      <alignment horizontal="left" vertical="center" wrapText="1"/>
    </xf>
    <xf numFmtId="0" fontId="41" fillId="9" borderId="0" xfId="0" applyFont="1" applyFill="1" applyBorder="1" applyAlignment="1">
      <alignment horizontal="left" vertical="center" wrapText="1"/>
    </xf>
    <xf numFmtId="0" fontId="38" fillId="8" borderId="3" xfId="0" applyFont="1" applyFill="1" applyBorder="1" applyAlignment="1">
      <alignment horizontal="left" vertical="center" wrapText="1"/>
    </xf>
    <xf numFmtId="0" fontId="18" fillId="3" borderId="0" xfId="0" applyFont="1" applyFill="1" applyBorder="1" applyAlignment="1">
      <alignment vertical="center"/>
    </xf>
    <xf numFmtId="168" fontId="42" fillId="12" borderId="1" xfId="0" applyNumberFormat="1" applyFont="1" applyFill="1" applyBorder="1" applyAlignment="1">
      <alignment horizontal="right" vertical="center"/>
    </xf>
    <xf numFmtId="0" fontId="38" fillId="3" borderId="1" xfId="0" applyFont="1" applyFill="1" applyBorder="1" applyAlignment="1">
      <alignment vertical="center"/>
    </xf>
    <xf numFmtId="0" fontId="41" fillId="9" borderId="1" xfId="0" applyFont="1" applyFill="1" applyBorder="1" applyAlignment="1">
      <alignment horizontal="left" vertical="center" wrapText="1"/>
    </xf>
    <xf numFmtId="0" fontId="38" fillId="8" borderId="1" xfId="0" applyFont="1" applyFill="1" applyBorder="1" applyAlignment="1">
      <alignment horizontal="left" vertical="center" wrapText="1"/>
    </xf>
    <xf numFmtId="0" fontId="86" fillId="19" borderId="0" xfId="0" applyFont="1" applyFill="1" applyBorder="1" applyAlignment="1">
      <alignment horizontal="left" vertical="center" indent="1"/>
    </xf>
    <xf numFmtId="1" fontId="41" fillId="9" borderId="1" xfId="0" applyNumberFormat="1" applyFont="1" applyFill="1" applyBorder="1" applyAlignment="1">
      <alignment horizontal="left" vertical="center" wrapText="1"/>
    </xf>
    <xf numFmtId="0" fontId="18" fillId="3" borderId="0" xfId="0" applyFont="1" applyFill="1" applyBorder="1" applyAlignment="1">
      <alignment horizontal="left" vertical="center"/>
    </xf>
    <xf numFmtId="1" fontId="38" fillId="8" borderId="1" xfId="0" applyNumberFormat="1" applyFont="1" applyFill="1" applyBorder="1" applyAlignment="1">
      <alignment horizontal="left" vertical="center" wrapText="1"/>
    </xf>
    <xf numFmtId="166" fontId="42" fillId="12" borderId="1" xfId="3" applyNumberFormat="1" applyFont="1" applyFill="1" applyBorder="1" applyAlignment="1">
      <alignment horizontal="left" vertical="center" indent="2"/>
    </xf>
    <xf numFmtId="1" fontId="59" fillId="9" borderId="1" xfId="0" applyNumberFormat="1" applyFont="1" applyFill="1" applyBorder="1" applyAlignment="1">
      <alignment horizontal="left" vertical="center" wrapText="1"/>
    </xf>
    <xf numFmtId="1" fontId="60" fillId="8" borderId="1" xfId="0" applyNumberFormat="1" applyFont="1" applyFill="1" applyBorder="1" applyAlignment="1">
      <alignment horizontal="left" vertical="center" wrapText="1"/>
    </xf>
    <xf numFmtId="167" fontId="42" fillId="12" borderId="1" xfId="0" applyNumberFormat="1" applyFont="1" applyFill="1" applyBorder="1" applyAlignment="1">
      <alignment horizontal="right"/>
    </xf>
    <xf numFmtId="3" fontId="42" fillId="12" borderId="1" xfId="1" applyNumberFormat="1" applyFont="1" applyFill="1" applyBorder="1" applyAlignment="1">
      <alignment horizontal="right" indent="1"/>
    </xf>
    <xf numFmtId="166" fontId="42" fillId="12" borderId="1" xfId="1" applyNumberFormat="1" applyFont="1" applyFill="1" applyBorder="1" applyAlignment="1">
      <alignment horizontal="right" indent="1"/>
    </xf>
    <xf numFmtId="165" fontId="42" fillId="12" borderId="1" xfId="1" applyNumberFormat="1" applyFont="1" applyFill="1" applyBorder="1" applyAlignment="1">
      <alignment horizontal="right" indent="1"/>
    </xf>
    <xf numFmtId="167" fontId="38" fillId="0" borderId="1" xfId="0" applyNumberFormat="1" applyFont="1" applyFill="1" applyBorder="1" applyAlignment="1">
      <alignment horizontal="right"/>
    </xf>
    <xf numFmtId="3" fontId="38" fillId="3" borderId="1" xfId="1" applyNumberFormat="1" applyFont="1" applyFill="1" applyBorder="1" applyAlignment="1">
      <alignment horizontal="right" indent="1"/>
    </xf>
    <xf numFmtId="166" fontId="38" fillId="3" borderId="1" xfId="1" applyNumberFormat="1" applyFont="1" applyFill="1" applyBorder="1" applyAlignment="1">
      <alignment horizontal="right" indent="1"/>
    </xf>
    <xf numFmtId="165" fontId="38" fillId="3" borderId="1" xfId="1" applyNumberFormat="1" applyFont="1" applyFill="1" applyBorder="1" applyAlignment="1">
      <alignment horizontal="right" indent="1"/>
    </xf>
    <xf numFmtId="0" fontId="42" fillId="8" borderId="1" xfId="0" applyFont="1" applyFill="1" applyBorder="1" applyAlignment="1">
      <alignment vertical="center" wrapText="1"/>
    </xf>
    <xf numFmtId="0" fontId="42" fillId="8" borderId="1" xfId="0" applyFont="1" applyFill="1" applyBorder="1" applyAlignment="1">
      <alignment horizontal="left" vertical="center" wrapText="1"/>
    </xf>
    <xf numFmtId="171" fontId="42" fillId="12" borderId="1" xfId="1" applyNumberFormat="1" applyFont="1" applyFill="1" applyBorder="1" applyAlignment="1">
      <alignment horizontal="right" vertical="center" indent="1"/>
    </xf>
    <xf numFmtId="171" fontId="38" fillId="3" borderId="1" xfId="1" applyNumberFormat="1" applyFont="1" applyFill="1" applyBorder="1" applyAlignment="1">
      <alignment horizontal="right" vertical="center" indent="1"/>
    </xf>
    <xf numFmtId="0" fontId="45" fillId="0" borderId="0" xfId="0" applyFont="1" applyFill="1" applyBorder="1" applyAlignment="1"/>
    <xf numFmtId="0" fontId="31" fillId="10" borderId="0" xfId="0" applyFont="1" applyFill="1" applyAlignment="1">
      <alignment horizontal="left" wrapText="1"/>
    </xf>
    <xf numFmtId="165" fontId="39" fillId="3" borderId="0" xfId="1" applyNumberFormat="1" applyFont="1" applyFill="1" applyBorder="1" applyAlignment="1">
      <alignment horizontal="right" vertical="center"/>
    </xf>
    <xf numFmtId="0" fontId="91" fillId="10" borderId="0" xfId="0" applyFont="1" applyFill="1" applyAlignment="1">
      <alignment vertical="center"/>
    </xf>
    <xf numFmtId="10" fontId="19" fillId="3" borderId="0" xfId="1" applyNumberFormat="1" applyFont="1" applyFill="1"/>
    <xf numFmtId="167" fontId="19" fillId="3" borderId="0" xfId="0" applyNumberFormat="1" applyFont="1" applyFill="1"/>
    <xf numFmtId="3" fontId="38" fillId="0" borderId="13" xfId="0" applyNumberFormat="1" applyFont="1" applyBorder="1" applyAlignment="1">
      <alignment horizontal="center" vertical="center"/>
    </xf>
    <xf numFmtId="49" fontId="71" fillId="0" borderId="2" xfId="0" applyNumberFormat="1" applyFont="1" applyFill="1" applyBorder="1" applyAlignment="1">
      <alignment horizontal="left" vertical="center" wrapText="1"/>
    </xf>
    <xf numFmtId="49" fontId="71" fillId="0" borderId="11" xfId="0" applyNumberFormat="1" applyFont="1" applyFill="1" applyBorder="1" applyAlignment="1">
      <alignment horizontal="left" vertical="center" wrapText="1"/>
    </xf>
    <xf numFmtId="49" fontId="71" fillId="0" borderId="4" xfId="0" applyNumberFormat="1" applyFont="1" applyFill="1" applyBorder="1" applyAlignment="1">
      <alignment horizontal="left" vertical="center" wrapText="1"/>
    </xf>
    <xf numFmtId="3" fontId="38" fillId="0" borderId="11" xfId="0" applyNumberFormat="1" applyFont="1" applyBorder="1" applyAlignment="1">
      <alignment horizontal="center" vertical="center"/>
    </xf>
    <xf numFmtId="3" fontId="38" fillId="0" borderId="4" xfId="0" applyNumberFormat="1" applyFont="1" applyBorder="1" applyAlignment="1">
      <alignment horizontal="center" vertical="center"/>
    </xf>
    <xf numFmtId="165" fontId="38" fillId="0" borderId="16" xfId="1" applyNumberFormat="1" applyFont="1" applyBorder="1" applyAlignment="1">
      <alignment horizontal="center" vertical="center"/>
    </xf>
    <xf numFmtId="165" fontId="38" fillId="0" borderId="2" xfId="1" applyNumberFormat="1" applyFont="1" applyBorder="1" applyAlignment="1">
      <alignment horizontal="center" vertical="center"/>
    </xf>
    <xf numFmtId="165" fontId="38" fillId="0" borderId="11" xfId="1" applyNumberFormat="1" applyFont="1" applyBorder="1" applyAlignment="1">
      <alignment horizontal="center" vertical="center"/>
    </xf>
    <xf numFmtId="165" fontId="38" fillId="0" borderId="13" xfId="1" applyNumberFormat="1" applyFont="1" applyBorder="1" applyAlignment="1">
      <alignment horizontal="center" vertical="center"/>
    </xf>
    <xf numFmtId="165" fontId="38" fillId="0" borderId="4" xfId="1" applyNumberFormat="1" applyFont="1" applyBorder="1" applyAlignment="1">
      <alignment horizontal="center" vertical="center"/>
    </xf>
    <xf numFmtId="165" fontId="38" fillId="0" borderId="15" xfId="1" applyNumberFormat="1" applyFont="1" applyBorder="1" applyAlignment="1">
      <alignment horizontal="center" vertical="center"/>
    </xf>
    <xf numFmtId="165" fontId="38" fillId="0" borderId="0" xfId="1" applyNumberFormat="1" applyFont="1" applyBorder="1" applyAlignment="1">
      <alignment horizontal="center" vertical="center"/>
    </xf>
    <xf numFmtId="165" fontId="38" fillId="0" borderId="5" xfId="1" applyNumberFormat="1" applyFont="1" applyBorder="1" applyAlignment="1">
      <alignment horizontal="center" vertical="center"/>
    </xf>
    <xf numFmtId="0" fontId="78" fillId="0" borderId="0" xfId="0" applyFont="1"/>
    <xf numFmtId="0" fontId="78" fillId="0" borderId="0" xfId="0" applyFont="1" applyAlignment="1">
      <alignment horizontal="left"/>
    </xf>
    <xf numFmtId="0" fontId="78" fillId="0" borderId="0" xfId="0" applyFont="1" applyAlignment="1">
      <alignment vertical="center"/>
    </xf>
    <xf numFmtId="0" fontId="25" fillId="0" borderId="0" xfId="0" applyFont="1"/>
    <xf numFmtId="49" fontId="65" fillId="9" borderId="1" xfId="0" applyNumberFormat="1" applyFont="1" applyFill="1" applyBorder="1" applyAlignment="1">
      <alignment vertical="center" wrapText="1"/>
    </xf>
    <xf numFmtId="49" fontId="65" fillId="14" borderId="1" xfId="0" applyNumberFormat="1" applyFont="1" applyFill="1" applyBorder="1" applyAlignment="1">
      <alignment vertical="center" wrapText="1"/>
    </xf>
    <xf numFmtId="1" fontId="2" fillId="5" borderId="2" xfId="2" applyNumberFormat="1" applyFont="1" applyFill="1" applyBorder="1" applyAlignment="1">
      <alignment horizontal="left" vertical="center"/>
    </xf>
    <xf numFmtId="1" fontId="93" fillId="0" borderId="2" xfId="0" applyNumberFormat="1" applyFont="1" applyBorder="1" applyAlignment="1">
      <alignment horizontal="center" vertical="center"/>
    </xf>
    <xf numFmtId="1" fontId="2" fillId="5" borderId="4" xfId="2" applyNumberFormat="1" applyFont="1" applyFill="1" applyBorder="1" applyAlignment="1">
      <alignment horizontal="left" vertical="center"/>
    </xf>
    <xf numFmtId="1" fontId="93" fillId="0" borderId="4" xfId="0" applyNumberFormat="1" applyFont="1" applyBorder="1" applyAlignment="1">
      <alignment horizontal="center" vertical="center"/>
    </xf>
    <xf numFmtId="1" fontId="93" fillId="26" borderId="2" xfId="0" applyNumberFormat="1" applyFont="1" applyFill="1" applyBorder="1" applyAlignment="1">
      <alignment horizontal="center" vertical="center"/>
    </xf>
    <xf numFmtId="1" fontId="93" fillId="26" borderId="4" xfId="0" applyNumberFormat="1" applyFont="1" applyFill="1" applyBorder="1" applyAlignment="1">
      <alignment horizontal="center" vertical="center"/>
    </xf>
    <xf numFmtId="0" fontId="78" fillId="0" borderId="0" xfId="0" applyFont="1" applyAlignment="1">
      <alignment horizontal="left" vertical="center"/>
    </xf>
    <xf numFmtId="1" fontId="78" fillId="0" borderId="0" xfId="0" applyNumberFormat="1" applyFont="1"/>
    <xf numFmtId="49" fontId="65" fillId="9" borderId="9" xfId="0" applyNumberFormat="1" applyFont="1" applyFill="1" applyBorder="1" applyAlignment="1">
      <alignment vertical="center" wrapText="1"/>
    </xf>
    <xf numFmtId="1" fontId="93" fillId="0" borderId="16" xfId="0" applyNumberFormat="1" applyFont="1" applyBorder="1" applyAlignment="1">
      <alignment horizontal="center" vertical="center"/>
    </xf>
    <xf numFmtId="1" fontId="93" fillId="0" borderId="13" xfId="0" applyNumberFormat="1" applyFont="1" applyBorder="1" applyAlignment="1">
      <alignment horizontal="center" vertical="center"/>
    </xf>
    <xf numFmtId="1" fontId="93" fillId="26" borderId="16" xfId="0" applyNumberFormat="1" applyFont="1" applyFill="1" applyBorder="1" applyAlignment="1">
      <alignment horizontal="center" vertical="center"/>
    </xf>
    <xf numFmtId="1" fontId="93" fillId="26" borderId="13" xfId="0" applyNumberFormat="1" applyFont="1" applyFill="1" applyBorder="1" applyAlignment="1">
      <alignment horizontal="center" vertical="center"/>
    </xf>
    <xf numFmtId="49" fontId="65" fillId="14" borderId="10" xfId="0" applyNumberFormat="1" applyFont="1" applyFill="1" applyBorder="1" applyAlignment="1">
      <alignment vertical="center" wrapText="1"/>
    </xf>
    <xf numFmtId="49" fontId="65" fillId="9" borderId="38" xfId="0" applyNumberFormat="1" applyFont="1" applyFill="1" applyBorder="1" applyAlignment="1">
      <alignment vertical="center" wrapText="1"/>
    </xf>
    <xf numFmtId="49" fontId="65" fillId="9" borderId="39" xfId="0" applyNumberFormat="1" applyFont="1" applyFill="1" applyBorder="1" applyAlignment="1">
      <alignment vertical="center" wrapText="1"/>
    </xf>
    <xf numFmtId="1" fontId="93" fillId="0" borderId="40" xfId="0" applyNumberFormat="1" applyFont="1" applyBorder="1" applyAlignment="1">
      <alignment horizontal="center" vertical="center"/>
    </xf>
    <xf numFmtId="1" fontId="93" fillId="0" borderId="41" xfId="0" applyNumberFormat="1" applyFont="1" applyBorder="1" applyAlignment="1">
      <alignment horizontal="center" vertical="center"/>
    </xf>
    <xf numFmtId="1" fontId="93" fillId="0" borderId="42" xfId="0" applyNumberFormat="1" applyFont="1" applyBorder="1" applyAlignment="1">
      <alignment horizontal="center" vertical="center"/>
    </xf>
    <xf numFmtId="1" fontId="93" fillId="0" borderId="43" xfId="0" applyNumberFormat="1" applyFont="1" applyBorder="1" applyAlignment="1">
      <alignment horizontal="center" vertical="center"/>
    </xf>
    <xf numFmtId="1" fontId="93" fillId="26" borderId="40" xfId="0" applyNumberFormat="1" applyFont="1" applyFill="1" applyBorder="1" applyAlignment="1">
      <alignment horizontal="center" vertical="center"/>
    </xf>
    <xf numFmtId="1" fontId="93" fillId="26" borderId="41" xfId="0" applyNumberFormat="1" applyFont="1" applyFill="1" applyBorder="1" applyAlignment="1">
      <alignment horizontal="center" vertical="center"/>
    </xf>
    <xf numFmtId="1" fontId="93" fillId="26" borderId="42" xfId="0" applyNumberFormat="1" applyFont="1" applyFill="1" applyBorder="1" applyAlignment="1">
      <alignment horizontal="center" vertical="center"/>
    </xf>
    <xf numFmtId="1" fontId="93" fillId="26" borderId="43" xfId="0" applyNumberFormat="1" applyFont="1" applyFill="1" applyBorder="1" applyAlignment="1">
      <alignment horizontal="center" vertical="center"/>
    </xf>
    <xf numFmtId="1" fontId="2" fillId="5" borderId="11" xfId="2" applyNumberFormat="1" applyFont="1" applyFill="1" applyBorder="1" applyAlignment="1">
      <alignment horizontal="left" vertical="center"/>
    </xf>
    <xf numFmtId="1" fontId="65" fillId="28" borderId="2" xfId="0" applyNumberFormat="1" applyFont="1" applyFill="1" applyBorder="1" applyAlignment="1">
      <alignment horizontal="center" vertical="center"/>
    </xf>
    <xf numFmtId="1" fontId="65" fillId="28" borderId="41" xfId="0" applyNumberFormat="1" applyFont="1" applyFill="1" applyBorder="1" applyAlignment="1">
      <alignment horizontal="center" vertical="center"/>
    </xf>
    <xf numFmtId="1" fontId="65" fillId="28" borderId="4" xfId="0" applyNumberFormat="1" applyFont="1" applyFill="1" applyBorder="1" applyAlignment="1">
      <alignment horizontal="center" vertical="center"/>
    </xf>
    <xf numFmtId="1" fontId="65" fillId="28" borderId="43" xfId="0" applyNumberFormat="1" applyFont="1" applyFill="1" applyBorder="1" applyAlignment="1">
      <alignment horizontal="center" vertical="center"/>
    </xf>
    <xf numFmtId="0" fontId="65" fillId="28" borderId="2" xfId="0" applyFont="1" applyFill="1" applyBorder="1" applyAlignment="1">
      <alignment horizontal="left" vertical="center" wrapText="1"/>
    </xf>
    <xf numFmtId="0" fontId="65" fillId="28" borderId="4" xfId="0" applyFont="1" applyFill="1" applyBorder="1" applyAlignment="1">
      <alignment horizontal="left" vertical="center" wrapText="1"/>
    </xf>
    <xf numFmtId="1" fontId="93" fillId="27" borderId="40" xfId="0" applyNumberFormat="1" applyFont="1" applyFill="1" applyBorder="1" applyAlignment="1">
      <alignment horizontal="center" vertical="center"/>
    </xf>
    <xf numFmtId="1" fontId="93" fillId="27" borderId="2" xfId="0" applyNumberFormat="1" applyFont="1" applyFill="1" applyBorder="1" applyAlignment="1">
      <alignment horizontal="center" vertical="center"/>
    </xf>
    <xf numFmtId="1" fontId="93" fillId="27" borderId="41" xfId="0" applyNumberFormat="1" applyFont="1" applyFill="1" applyBorder="1" applyAlignment="1">
      <alignment horizontal="center" vertical="center"/>
    </xf>
    <xf numFmtId="1" fontId="93" fillId="27" borderId="42" xfId="0" applyNumberFormat="1" applyFont="1" applyFill="1" applyBorder="1" applyAlignment="1">
      <alignment horizontal="center" vertical="center"/>
    </xf>
    <xf numFmtId="1" fontId="93" fillId="27" borderId="4" xfId="0" applyNumberFormat="1" applyFont="1" applyFill="1" applyBorder="1" applyAlignment="1">
      <alignment horizontal="center" vertical="center"/>
    </xf>
    <xf numFmtId="1" fontId="93" fillId="27" borderId="43" xfId="0" applyNumberFormat="1" applyFont="1" applyFill="1" applyBorder="1" applyAlignment="1">
      <alignment horizontal="center" vertical="center"/>
    </xf>
    <xf numFmtId="1" fontId="65" fillId="29" borderId="2" xfId="0" applyNumberFormat="1" applyFont="1" applyFill="1" applyBorder="1" applyAlignment="1">
      <alignment horizontal="center" vertical="center"/>
    </xf>
    <xf numFmtId="1" fontId="65" fillId="29" borderId="41" xfId="0" applyNumberFormat="1" applyFont="1" applyFill="1" applyBorder="1" applyAlignment="1">
      <alignment horizontal="center" vertical="center"/>
    </xf>
    <xf numFmtId="1" fontId="65" fillId="29" borderId="4" xfId="0" applyNumberFormat="1" applyFont="1" applyFill="1" applyBorder="1" applyAlignment="1">
      <alignment horizontal="center" vertical="center"/>
    </xf>
    <xf numFmtId="1" fontId="65" fillId="29" borderId="43" xfId="0" applyNumberFormat="1" applyFont="1" applyFill="1" applyBorder="1" applyAlignment="1">
      <alignment horizontal="center" vertical="center"/>
    </xf>
    <xf numFmtId="3" fontId="38" fillId="0" borderId="2" xfId="0" applyNumberFormat="1" applyFont="1" applyBorder="1" applyAlignment="1">
      <alignment horizontal="center" vertical="center"/>
    </xf>
    <xf numFmtId="169" fontId="42" fillId="12" borderId="1" xfId="0" applyNumberFormat="1" applyFont="1" applyFill="1" applyBorder="1" applyAlignment="1">
      <alignment horizontal="right" vertical="center"/>
    </xf>
    <xf numFmtId="169" fontId="38" fillId="3" borderId="1" xfId="0" applyNumberFormat="1" applyFont="1" applyFill="1" applyBorder="1" applyAlignment="1">
      <alignment horizontal="right" vertical="center"/>
    </xf>
    <xf numFmtId="0" fontId="41" fillId="9" borderId="9" xfId="0" applyFont="1" applyFill="1" applyBorder="1" applyAlignment="1">
      <alignment horizontal="left" vertical="center"/>
    </xf>
    <xf numFmtId="1" fontId="41" fillId="9" borderId="9" xfId="0" applyNumberFormat="1" applyFont="1" applyFill="1" applyBorder="1" applyAlignment="1">
      <alignment horizontal="left" vertical="center"/>
    </xf>
    <xf numFmtId="167" fontId="62" fillId="0" borderId="0" xfId="2" applyNumberFormat="1" applyFont="1" applyAlignment="1">
      <alignment vertical="center"/>
    </xf>
    <xf numFmtId="165" fontId="62" fillId="0" borderId="0" xfId="1" applyNumberFormat="1" applyFont="1" applyAlignment="1">
      <alignment vertical="center"/>
    </xf>
    <xf numFmtId="167" fontId="42" fillId="12" borderId="10" xfId="0" applyNumberFormat="1" applyFont="1" applyFill="1" applyBorder="1" applyAlignment="1">
      <alignment horizontal="right" vertical="center"/>
    </xf>
    <xf numFmtId="0" fontId="49" fillId="3" borderId="0" xfId="0" applyFont="1" applyFill="1" applyBorder="1" applyAlignment="1">
      <alignment vertical="top"/>
    </xf>
    <xf numFmtId="0" fontId="49" fillId="3" borderId="0" xfId="0" applyFont="1" applyFill="1" applyBorder="1" applyAlignment="1">
      <alignment horizontal="right" wrapText="1"/>
    </xf>
    <xf numFmtId="0" fontId="91" fillId="17" borderId="0" xfId="0" applyFont="1" applyFill="1" applyBorder="1" applyAlignment="1"/>
    <xf numFmtId="0" fontId="38" fillId="0" borderId="0" xfId="0" applyFont="1" applyBorder="1" applyAlignment="1">
      <alignment vertical="top" wrapText="1"/>
    </xf>
    <xf numFmtId="0" fontId="49" fillId="3" borderId="0" xfId="0" applyFont="1" applyFill="1" applyBorder="1" applyAlignment="1"/>
    <xf numFmtId="165" fontId="42" fillId="12" borderId="1" xfId="1" applyNumberFormat="1" applyFont="1" applyFill="1" applyBorder="1" applyAlignment="1">
      <alignment horizontal="right" vertical="center" indent="1"/>
    </xf>
    <xf numFmtId="165" fontId="36" fillId="0" borderId="0" xfId="1" applyNumberFormat="1" applyFont="1" applyFill="1" applyBorder="1" applyAlignment="1">
      <alignment horizontal="center" vertical="center"/>
    </xf>
    <xf numFmtId="165" fontId="39" fillId="3" borderId="0" xfId="1" applyNumberFormat="1" applyFont="1" applyFill="1" applyBorder="1" applyAlignment="1">
      <alignment horizontal="right" indent="1"/>
    </xf>
    <xf numFmtId="0" fontId="94" fillId="19" borderId="0" xfId="0" applyFont="1" applyFill="1" applyBorder="1" applyAlignment="1">
      <alignment horizontal="left" vertical="center" wrapText="1"/>
    </xf>
    <xf numFmtId="0" fontId="34" fillId="11" borderId="0" xfId="0" applyFont="1" applyFill="1" applyBorder="1" applyAlignment="1">
      <alignment horizontal="left" vertical="center" indent="1"/>
    </xf>
    <xf numFmtId="167" fontId="70" fillId="0" borderId="0" xfId="2" applyNumberFormat="1" applyFont="1" applyAlignment="1">
      <alignment vertical="center"/>
    </xf>
    <xf numFmtId="0" fontId="34" fillId="16" borderId="0" xfId="0" applyFont="1" applyFill="1" applyBorder="1" applyAlignment="1">
      <alignment horizontal="left" vertical="center" indent="1"/>
    </xf>
    <xf numFmtId="0" fontId="94" fillId="19" borderId="0" xfId="0" applyFont="1" applyFill="1" applyBorder="1" applyAlignment="1">
      <alignment vertical="center"/>
    </xf>
    <xf numFmtId="0" fontId="34" fillId="7" borderId="0" xfId="0" applyFont="1" applyFill="1" applyBorder="1" applyAlignment="1">
      <alignment vertical="center"/>
    </xf>
    <xf numFmtId="0" fontId="41" fillId="7" borderId="0" xfId="0" applyFont="1" applyFill="1" applyBorder="1" applyAlignment="1">
      <alignment horizontal="right"/>
    </xf>
    <xf numFmtId="0" fontId="41" fillId="11" borderId="0" xfId="0" applyFont="1" applyFill="1" applyBorder="1" applyAlignment="1">
      <alignment horizontal="right"/>
    </xf>
    <xf numFmtId="0" fontId="41" fillId="16" borderId="0" xfId="0" applyFont="1" applyFill="1" applyBorder="1" applyAlignment="1">
      <alignment horizontal="right"/>
    </xf>
    <xf numFmtId="165" fontId="38" fillId="0" borderId="16" xfId="1" applyNumberFormat="1" applyFont="1" applyFill="1" applyBorder="1" applyAlignment="1">
      <alignment horizontal="center" vertical="center"/>
    </xf>
    <xf numFmtId="165" fontId="38" fillId="0" borderId="2" xfId="1" applyNumberFormat="1" applyFont="1" applyFill="1" applyBorder="1" applyAlignment="1">
      <alignment horizontal="center" vertical="center"/>
    </xf>
    <xf numFmtId="165" fontId="38" fillId="0" borderId="3" xfId="1" applyNumberFormat="1" applyFont="1" applyFill="1" applyBorder="1" applyAlignment="1">
      <alignment horizontal="center" vertical="center"/>
    </xf>
    <xf numFmtId="165" fontId="38" fillId="0" borderId="11" xfId="1" applyNumberFormat="1" applyFont="1" applyFill="1" applyBorder="1" applyAlignment="1">
      <alignment horizontal="center" vertical="center"/>
    </xf>
    <xf numFmtId="165" fontId="38" fillId="0" borderId="13" xfId="1" applyNumberFormat="1" applyFont="1" applyFill="1" applyBorder="1" applyAlignment="1">
      <alignment horizontal="center" vertical="center"/>
    </xf>
    <xf numFmtId="165" fontId="38" fillId="0" borderId="4" xfId="1" applyNumberFormat="1" applyFont="1" applyFill="1" applyBorder="1" applyAlignment="1">
      <alignment horizontal="center" vertical="center"/>
    </xf>
    <xf numFmtId="0" fontId="36" fillId="0" borderId="0" xfId="0" applyFont="1" applyAlignment="1">
      <alignment horizontal="center"/>
    </xf>
    <xf numFmtId="0" fontId="67" fillId="2" borderId="20" xfId="0" applyFont="1" applyFill="1" applyBorder="1" applyAlignment="1">
      <alignment horizontal="center"/>
    </xf>
    <xf numFmtId="0" fontId="36" fillId="0" borderId="0" xfId="0" applyFont="1" applyBorder="1" applyAlignment="1">
      <alignment horizontal="center"/>
    </xf>
    <xf numFmtId="0" fontId="36" fillId="0" borderId="0" xfId="0" applyFont="1" applyBorder="1"/>
    <xf numFmtId="1" fontId="71" fillId="0" borderId="21" xfId="0" applyNumberFormat="1" applyFont="1" applyFill="1" applyBorder="1" applyAlignment="1">
      <alignment horizontal="left"/>
    </xf>
    <xf numFmtId="0" fontId="78" fillId="0" borderId="0" xfId="0" quotePrefix="1" applyFont="1" applyAlignment="1">
      <alignment vertical="center" wrapText="1"/>
    </xf>
    <xf numFmtId="0" fontId="95" fillId="3" borderId="0" xfId="0" applyFont="1" applyFill="1" applyBorder="1" applyAlignment="1">
      <alignment horizontal="left" indent="3"/>
    </xf>
    <xf numFmtId="0" fontId="96" fillId="0" borderId="0" xfId="0" applyFont="1"/>
    <xf numFmtId="0" fontId="96" fillId="0" borderId="0" xfId="0" applyFont="1" applyAlignment="1">
      <alignment horizontal="left" indent="1"/>
    </xf>
    <xf numFmtId="0" fontId="97" fillId="0" borderId="0" xfId="0" applyFont="1" applyBorder="1" applyAlignment="1">
      <alignment horizontal="left" indent="1"/>
    </xf>
    <xf numFmtId="0" fontId="98" fillId="7" borderId="0" xfId="0" applyFont="1" applyFill="1"/>
    <xf numFmtId="0" fontId="76" fillId="7" borderId="0" xfId="0" applyFont="1" applyFill="1"/>
    <xf numFmtId="0" fontId="47" fillId="7" borderId="0" xfId="0" applyFont="1" applyFill="1"/>
    <xf numFmtId="0" fontId="98" fillId="7" borderId="0" xfId="0" applyFont="1" applyFill="1" applyAlignment="1"/>
    <xf numFmtId="165" fontId="38" fillId="0" borderId="0" xfId="1" applyNumberFormat="1" applyFont="1" applyFill="1" applyBorder="1" applyAlignment="1">
      <alignment horizontal="center" vertical="center"/>
    </xf>
    <xf numFmtId="167" fontId="42" fillId="0" borderId="0" xfId="2" applyNumberFormat="1" applyFont="1" applyBorder="1" applyAlignment="1">
      <alignment horizontal="center" vertical="center"/>
    </xf>
    <xf numFmtId="167" fontId="42" fillId="0" borderId="16" xfId="2" applyNumberFormat="1" applyFont="1" applyBorder="1" applyAlignment="1">
      <alignment horizontal="center" vertical="center"/>
    </xf>
    <xf numFmtId="167" fontId="42" fillId="0" borderId="15" xfId="2" applyNumberFormat="1" applyFont="1" applyBorder="1" applyAlignment="1">
      <alignment horizontal="center" vertical="center"/>
    </xf>
    <xf numFmtId="0" fontId="34" fillId="30" borderId="0" xfId="0" applyFont="1" applyFill="1" applyBorder="1" applyAlignment="1">
      <alignment horizontal="left" vertical="center" indent="1"/>
    </xf>
    <xf numFmtId="0" fontId="41" fillId="30" borderId="0" xfId="0" applyFont="1" applyFill="1" applyBorder="1" applyAlignment="1">
      <alignment horizontal="right"/>
    </xf>
    <xf numFmtId="0" fontId="99" fillId="31" borderId="0" xfId="0" applyFont="1" applyFill="1" applyBorder="1" applyAlignment="1">
      <alignment horizontal="left" vertical="center" indent="3"/>
    </xf>
    <xf numFmtId="0" fontId="80" fillId="31" borderId="0" xfId="0" applyFont="1" applyFill="1" applyBorder="1" applyAlignment="1"/>
    <xf numFmtId="0" fontId="47" fillId="31" borderId="0" xfId="0" applyFont="1" applyFill="1" applyBorder="1" applyAlignment="1"/>
    <xf numFmtId="0" fontId="0" fillId="31" borderId="0" xfId="0" applyFill="1"/>
    <xf numFmtId="0" fontId="36" fillId="31" borderId="0" xfId="0" applyFont="1" applyFill="1" applyBorder="1"/>
    <xf numFmtId="0" fontId="94" fillId="31" borderId="0" xfId="0" applyFont="1" applyFill="1" applyBorder="1" applyAlignment="1">
      <alignment horizontal="left" indent="2"/>
    </xf>
    <xf numFmtId="0" fontId="38" fillId="31" borderId="0" xfId="0" applyFont="1" applyFill="1" applyBorder="1" applyAlignment="1">
      <alignment horizontal="left" indent="2"/>
    </xf>
    <xf numFmtId="169" fontId="42" fillId="31" borderId="0" xfId="0" applyNumberFormat="1" applyFont="1" applyFill="1" applyBorder="1" applyAlignment="1">
      <alignment horizontal="left" indent="2"/>
    </xf>
    <xf numFmtId="0" fontId="36" fillId="31" borderId="0" xfId="0" applyFont="1" applyFill="1"/>
    <xf numFmtId="0" fontId="34" fillId="13" borderId="0" xfId="0" applyFont="1" applyFill="1" applyBorder="1" applyAlignment="1">
      <alignment horizontal="left" indent="1"/>
    </xf>
    <xf numFmtId="0" fontId="34" fillId="6" borderId="0" xfId="0" applyFont="1" applyFill="1" applyBorder="1" applyAlignment="1">
      <alignment vertical="center"/>
    </xf>
    <xf numFmtId="1" fontId="62" fillId="25" borderId="5" xfId="0" applyNumberFormat="1" applyFont="1" applyFill="1" applyBorder="1" applyAlignment="1">
      <alignment horizontal="center" vertical="center"/>
    </xf>
    <xf numFmtId="1" fontId="62" fillId="25" borderId="14" xfId="0" applyNumberFormat="1" applyFont="1" applyFill="1" applyBorder="1" applyAlignment="1">
      <alignment horizontal="center" vertical="center"/>
    </xf>
    <xf numFmtId="0" fontId="62" fillId="25" borderId="6" xfId="2" applyFont="1" applyFill="1" applyBorder="1" applyAlignment="1">
      <alignment horizontal="center" vertical="center" wrapText="1"/>
    </xf>
    <xf numFmtId="0" fontId="62" fillId="25" borderId="10" xfId="2" applyFont="1" applyFill="1" applyBorder="1" applyAlignment="1">
      <alignment horizontal="center" vertical="center" wrapText="1"/>
    </xf>
    <xf numFmtId="1" fontId="67" fillId="7" borderId="9" xfId="0" applyNumberFormat="1" applyFont="1" applyFill="1" applyBorder="1" applyAlignment="1">
      <alignment horizontal="center" vertical="center" wrapText="1"/>
    </xf>
    <xf numFmtId="0" fontId="67" fillId="7" borderId="6" xfId="2" applyFont="1" applyFill="1" applyBorder="1" applyAlignment="1">
      <alignment horizontal="center" vertical="center" wrapText="1"/>
    </xf>
    <xf numFmtId="0" fontId="67" fillId="7" borderId="10" xfId="2" applyFont="1" applyFill="1" applyBorder="1" applyAlignment="1">
      <alignment horizontal="center" vertical="center" wrapText="1"/>
    </xf>
    <xf numFmtId="0" fontId="36" fillId="0" borderId="0" xfId="2" applyFont="1" applyAlignment="1">
      <alignment vertical="center"/>
    </xf>
    <xf numFmtId="0" fontId="62" fillId="25" borderId="9" xfId="2" applyFont="1" applyFill="1" applyBorder="1" applyAlignment="1">
      <alignment horizontal="center" vertical="center" wrapText="1"/>
    </xf>
    <xf numFmtId="0" fontId="36" fillId="25" borderId="2" xfId="0" applyFont="1" applyFill="1" applyBorder="1" applyAlignment="1">
      <alignment vertical="center" wrapText="1"/>
    </xf>
    <xf numFmtId="1" fontId="36" fillId="25" borderId="6" xfId="2" applyNumberFormat="1" applyFont="1" applyFill="1" applyBorder="1" applyAlignment="1">
      <alignment horizontal="center" vertical="center" wrapText="1"/>
    </xf>
    <xf numFmtId="1" fontId="62" fillId="25" borderId="9" xfId="0" applyNumberFormat="1" applyFont="1" applyFill="1" applyBorder="1" applyAlignment="1">
      <alignment horizontal="left" vertical="center" wrapText="1"/>
    </xf>
    <xf numFmtId="1" fontId="62" fillId="25" borderId="6" xfId="0" applyNumberFormat="1" applyFont="1" applyFill="1" applyBorder="1" applyAlignment="1">
      <alignment horizontal="left" vertical="center" wrapText="1"/>
    </xf>
    <xf numFmtId="1" fontId="67" fillId="11" borderId="9" xfId="0" applyNumberFormat="1" applyFont="1" applyFill="1" applyBorder="1" applyAlignment="1">
      <alignment horizontal="left" vertical="center" wrapText="1"/>
    </xf>
    <xf numFmtId="1" fontId="67" fillId="11" borderId="6" xfId="0" applyNumberFormat="1" applyFont="1" applyFill="1" applyBorder="1" applyAlignment="1">
      <alignment horizontal="left" vertical="center" wrapText="1"/>
    </xf>
    <xf numFmtId="1" fontId="67" fillId="11" borderId="10" xfId="0" applyNumberFormat="1" applyFont="1" applyFill="1" applyBorder="1" applyAlignment="1">
      <alignment horizontal="left" vertical="center" wrapText="1"/>
    </xf>
    <xf numFmtId="0" fontId="62" fillId="25" borderId="9" xfId="2" applyFont="1" applyFill="1" applyBorder="1" applyAlignment="1">
      <alignment vertical="center" wrapText="1"/>
    </xf>
    <xf numFmtId="0" fontId="62" fillId="25" borderId="6" xfId="2" applyFont="1" applyFill="1" applyBorder="1" applyAlignment="1">
      <alignment vertical="center" wrapText="1"/>
    </xf>
    <xf numFmtId="0" fontId="62" fillId="25" borderId="10" xfId="2" applyFont="1" applyFill="1" applyBorder="1" applyAlignment="1">
      <alignment vertical="center" wrapText="1"/>
    </xf>
    <xf numFmtId="0" fontId="62" fillId="16" borderId="9" xfId="2" applyFont="1" applyFill="1" applyBorder="1" applyAlignment="1">
      <alignment horizontal="center" vertical="center" wrapText="1"/>
    </xf>
    <xf numFmtId="0" fontId="62" fillId="16" borderId="6" xfId="2" applyFont="1" applyFill="1" applyBorder="1" applyAlignment="1">
      <alignment horizontal="center" vertical="center" wrapText="1"/>
    </xf>
    <xf numFmtId="0" fontId="62" fillId="16" borderId="10" xfId="2" applyFont="1" applyFill="1" applyBorder="1" applyAlignment="1">
      <alignment horizontal="center" vertical="center" wrapText="1"/>
    </xf>
    <xf numFmtId="1" fontId="62" fillId="16" borderId="13" xfId="0" applyNumberFormat="1" applyFont="1" applyFill="1" applyBorder="1" applyAlignment="1">
      <alignment horizontal="center" vertical="center" wrapText="1"/>
    </xf>
    <xf numFmtId="1" fontId="62" fillId="16" borderId="5" xfId="0" applyNumberFormat="1" applyFont="1" applyFill="1" applyBorder="1" applyAlignment="1">
      <alignment horizontal="center" vertical="center" wrapText="1"/>
    </xf>
    <xf numFmtId="1" fontId="62" fillId="25" borderId="6" xfId="0" applyNumberFormat="1" applyFont="1" applyFill="1" applyBorder="1" applyAlignment="1">
      <alignment horizontal="center" vertical="center"/>
    </xf>
    <xf numFmtId="0" fontId="62" fillId="6" borderId="9" xfId="2" applyFont="1" applyFill="1" applyBorder="1" applyAlignment="1">
      <alignment vertical="center" wrapText="1"/>
    </xf>
    <xf numFmtId="0" fontId="62" fillId="6" borderId="6" xfId="2" applyFont="1" applyFill="1" applyBorder="1" applyAlignment="1">
      <alignment vertical="center" wrapText="1"/>
    </xf>
    <xf numFmtId="0" fontId="62" fillId="6" borderId="10" xfId="2" applyFont="1" applyFill="1" applyBorder="1" applyAlignment="1">
      <alignment vertical="center" wrapText="1"/>
    </xf>
    <xf numFmtId="0" fontId="62" fillId="22" borderId="9" xfId="2" applyFont="1" applyFill="1" applyBorder="1" applyAlignment="1">
      <alignment vertical="center" wrapText="1"/>
    </xf>
    <xf numFmtId="0" fontId="62" fillId="22" borderId="6" xfId="2" applyFont="1" applyFill="1" applyBorder="1" applyAlignment="1">
      <alignment vertical="center" wrapText="1"/>
    </xf>
    <xf numFmtId="0" fontId="62" fillId="22" borderId="10" xfId="2" applyFont="1" applyFill="1" applyBorder="1" applyAlignment="1">
      <alignment vertical="center" wrapText="1"/>
    </xf>
    <xf numFmtId="170" fontId="62" fillId="0" borderId="0" xfId="0" applyNumberFormat="1" applyFont="1" applyAlignment="1">
      <alignment vertical="center"/>
    </xf>
    <xf numFmtId="0" fontId="101" fillId="20" borderId="0" xfId="0" applyFont="1" applyFill="1" applyBorder="1" applyAlignment="1"/>
    <xf numFmtId="0" fontId="102" fillId="20" borderId="0" xfId="0" applyFont="1" applyFill="1" applyBorder="1"/>
    <xf numFmtId="0" fontId="33" fillId="20" borderId="0" xfId="0" applyFont="1" applyFill="1"/>
    <xf numFmtId="0" fontId="62" fillId="20" borderId="0" xfId="0" applyFont="1" applyFill="1" applyAlignment="1">
      <alignment vertical="center"/>
    </xf>
    <xf numFmtId="0" fontId="30" fillId="20" borderId="0" xfId="0" applyFont="1" applyFill="1" applyAlignment="1">
      <alignment vertical="center"/>
    </xf>
    <xf numFmtId="0" fontId="81" fillId="20" borderId="0" xfId="0" quotePrefix="1" applyFont="1" applyFill="1" applyAlignment="1">
      <alignment horizontal="center"/>
    </xf>
    <xf numFmtId="0" fontId="0" fillId="20" borderId="0" xfId="0" applyFill="1" applyAlignment="1">
      <alignment vertical="center"/>
    </xf>
    <xf numFmtId="0" fontId="15" fillId="20" borderId="0" xfId="0" applyFont="1" applyFill="1" applyBorder="1" applyAlignment="1"/>
    <xf numFmtId="0" fontId="15" fillId="20" borderId="0" xfId="0" applyFont="1" applyFill="1" applyBorder="1" applyAlignment="1">
      <alignment horizontal="left"/>
    </xf>
    <xf numFmtId="0" fontId="30" fillId="20" borderId="0" xfId="0" applyFont="1" applyFill="1"/>
    <xf numFmtId="0" fontId="41" fillId="13" borderId="0" xfId="0" applyFont="1" applyFill="1" applyBorder="1" applyAlignment="1">
      <alignment horizontal="right"/>
    </xf>
    <xf numFmtId="0" fontId="48" fillId="20" borderId="0" xfId="0" applyFont="1" applyFill="1" applyBorder="1" applyAlignment="1">
      <alignment horizontal="left" indent="3"/>
    </xf>
    <xf numFmtId="0" fontId="67" fillId="13" borderId="9" xfId="2" applyFont="1" applyFill="1" applyBorder="1" applyAlignment="1">
      <alignment horizontal="center" vertical="center" wrapText="1"/>
    </xf>
    <xf numFmtId="0" fontId="67" fillId="13" borderId="6" xfId="2" applyFont="1" applyFill="1" applyBorder="1" applyAlignment="1">
      <alignment horizontal="center" vertical="center" wrapText="1"/>
    </xf>
    <xf numFmtId="0" fontId="67" fillId="13" borderId="10" xfId="2" applyFont="1" applyFill="1" applyBorder="1" applyAlignment="1">
      <alignment horizontal="center" vertical="center" wrapText="1"/>
    </xf>
    <xf numFmtId="0" fontId="67" fillId="13" borderId="2" xfId="0" applyFont="1" applyFill="1" applyBorder="1" applyAlignment="1">
      <alignment vertical="center" wrapText="1"/>
    </xf>
    <xf numFmtId="0" fontId="42" fillId="8" borderId="4" xfId="0" applyFont="1" applyFill="1" applyBorder="1" applyAlignment="1">
      <alignment horizontal="left" vertical="center" wrapText="1"/>
    </xf>
    <xf numFmtId="165" fontId="42" fillId="12" borderId="4" xfId="1" applyNumberFormat="1" applyFont="1" applyFill="1" applyBorder="1" applyAlignment="1">
      <alignment horizontal="right" vertical="center" indent="1"/>
    </xf>
    <xf numFmtId="165" fontId="42" fillId="12" borderId="9" xfId="1" applyNumberFormat="1" applyFont="1" applyFill="1" applyBorder="1" applyAlignment="1">
      <alignment horizontal="right" vertical="center" indent="1"/>
    </xf>
    <xf numFmtId="165" fontId="38" fillId="3" borderId="9" xfId="1" applyNumberFormat="1" applyFont="1" applyFill="1" applyBorder="1" applyAlignment="1">
      <alignment horizontal="right" vertical="center" indent="1"/>
    </xf>
    <xf numFmtId="0" fontId="41" fillId="9" borderId="1" xfId="0" applyFont="1" applyFill="1" applyBorder="1" applyAlignment="1">
      <alignment vertical="center"/>
    </xf>
    <xf numFmtId="165" fontId="38" fillId="3" borderId="0" xfId="1" applyNumberFormat="1" applyFont="1" applyFill="1" applyBorder="1" applyAlignment="1">
      <alignment horizontal="right" vertical="center" indent="1"/>
    </xf>
    <xf numFmtId="0" fontId="38" fillId="3" borderId="0" xfId="0" applyFont="1" applyFill="1" applyBorder="1" applyAlignment="1">
      <alignment horizontal="left" vertical="top"/>
    </xf>
    <xf numFmtId="0" fontId="62" fillId="25" borderId="13" xfId="2" applyFont="1" applyFill="1" applyBorder="1" applyAlignment="1">
      <alignment vertical="center" wrapText="1"/>
    </xf>
    <xf numFmtId="0" fontId="62" fillId="25" borderId="5" xfId="2" applyFont="1" applyFill="1" applyBorder="1" applyAlignment="1">
      <alignment vertical="center" wrapText="1"/>
    </xf>
    <xf numFmtId="0" fontId="62" fillId="25" borderId="14" xfId="2" applyFont="1" applyFill="1" applyBorder="1" applyAlignment="1">
      <alignment vertical="center" wrapText="1"/>
    </xf>
    <xf numFmtId="0" fontId="62" fillId="6" borderId="13" xfId="2" applyFont="1" applyFill="1" applyBorder="1" applyAlignment="1">
      <alignment vertical="center" wrapText="1"/>
    </xf>
    <xf numFmtId="0" fontId="62" fillId="6" borderId="5" xfId="2" applyFont="1" applyFill="1" applyBorder="1" applyAlignment="1">
      <alignment vertical="center" wrapText="1"/>
    </xf>
    <xf numFmtId="0" fontId="62" fillId="6" borderId="14" xfId="2" applyFont="1" applyFill="1" applyBorder="1" applyAlignment="1">
      <alignment vertical="center" wrapText="1"/>
    </xf>
    <xf numFmtId="1" fontId="62" fillId="25" borderId="9" xfId="0" applyNumberFormat="1" applyFont="1" applyFill="1" applyBorder="1" applyAlignment="1">
      <alignment horizontal="center" vertical="center" wrapText="1"/>
    </xf>
    <xf numFmtId="1" fontId="62" fillId="25" borderId="6" xfId="0" applyNumberFormat="1" applyFont="1" applyFill="1" applyBorder="1" applyAlignment="1">
      <alignment horizontal="center" vertical="center" wrapText="1"/>
    </xf>
    <xf numFmtId="1" fontId="62" fillId="16" borderId="9" xfId="0" applyNumberFormat="1" applyFont="1" applyFill="1" applyBorder="1" applyAlignment="1">
      <alignment horizontal="center" vertical="center" wrapText="1"/>
    </xf>
    <xf numFmtId="1" fontId="62" fillId="16" borderId="6" xfId="0" applyNumberFormat="1" applyFont="1" applyFill="1" applyBorder="1" applyAlignment="1">
      <alignment horizontal="center" vertical="center" wrapText="1"/>
    </xf>
    <xf numFmtId="1" fontId="62" fillId="16" borderId="10" xfId="0" applyNumberFormat="1" applyFont="1" applyFill="1" applyBorder="1" applyAlignment="1">
      <alignment horizontal="center" vertical="center" wrapText="1"/>
    </xf>
    <xf numFmtId="1" fontId="67" fillId="11" borderId="9" xfId="0" applyNumberFormat="1" applyFont="1" applyFill="1" applyBorder="1" applyAlignment="1">
      <alignment horizontal="center" vertical="center" wrapText="1"/>
    </xf>
    <xf numFmtId="1" fontId="67" fillId="11" borderId="6" xfId="0" applyNumberFormat="1" applyFont="1" applyFill="1" applyBorder="1" applyAlignment="1">
      <alignment horizontal="center" vertical="center" wrapText="1"/>
    </xf>
    <xf numFmtId="1" fontId="67" fillId="11" borderId="10" xfId="0" applyNumberFormat="1" applyFont="1" applyFill="1" applyBorder="1" applyAlignment="1">
      <alignment horizontal="center" vertical="center" wrapText="1"/>
    </xf>
    <xf numFmtId="1" fontId="67" fillId="13" borderId="9" xfId="0" applyNumberFormat="1" applyFont="1" applyFill="1" applyBorder="1" applyAlignment="1">
      <alignment horizontal="center" vertical="center" wrapText="1"/>
    </xf>
    <xf numFmtId="1" fontId="67" fillId="13" borderId="6" xfId="0" applyNumberFormat="1" applyFont="1" applyFill="1" applyBorder="1" applyAlignment="1">
      <alignment horizontal="center" vertical="center" wrapText="1"/>
    </xf>
    <xf numFmtId="1" fontId="67" fillId="13" borderId="10" xfId="0" applyNumberFormat="1" applyFont="1" applyFill="1" applyBorder="1" applyAlignment="1">
      <alignment horizontal="center" vertical="center" wrapText="1"/>
    </xf>
    <xf numFmtId="0" fontId="41" fillId="9" borderId="11" xfId="0" applyFont="1" applyFill="1" applyBorder="1" applyAlignment="1">
      <alignment horizontal="left" vertical="center" wrapText="1"/>
    </xf>
    <xf numFmtId="0" fontId="2" fillId="0" borderId="0" xfId="2" applyFont="1" applyAlignment="1">
      <alignment vertical="center"/>
    </xf>
    <xf numFmtId="0" fontId="62" fillId="0" borderId="0" xfId="0" applyFont="1"/>
    <xf numFmtId="20" fontId="62" fillId="0" borderId="0" xfId="0" applyNumberFormat="1" applyFont="1"/>
    <xf numFmtId="167" fontId="2" fillId="0" borderId="0" xfId="2" applyNumberFormat="1" applyFont="1" applyAlignment="1">
      <alignment vertical="center"/>
    </xf>
    <xf numFmtId="165" fontId="2" fillId="0" borderId="0" xfId="2" applyNumberFormat="1" applyFont="1" applyAlignment="1">
      <alignment vertical="center"/>
    </xf>
    <xf numFmtId="0" fontId="2" fillId="0" borderId="0" xfId="2" applyFont="1" applyFill="1" applyAlignment="1">
      <alignment vertical="center"/>
    </xf>
    <xf numFmtId="165" fontId="2" fillId="0" borderId="0" xfId="3" applyNumberFormat="1" applyFont="1" applyAlignment="1">
      <alignment vertical="center"/>
    </xf>
    <xf numFmtId="169" fontId="2" fillId="0" borderId="0" xfId="2" applyNumberFormat="1" applyFont="1" applyAlignment="1">
      <alignment vertical="center"/>
    </xf>
    <xf numFmtId="3" fontId="2" fillId="0" borderId="0" xfId="2" applyNumberFormat="1" applyFont="1" applyAlignment="1">
      <alignment vertical="center"/>
    </xf>
    <xf numFmtId="0" fontId="15" fillId="3" borderId="0" xfId="0" applyFont="1" applyFill="1" applyBorder="1" applyAlignment="1">
      <alignment vertical="top"/>
    </xf>
    <xf numFmtId="165" fontId="42" fillId="12" borderId="10" xfId="1" applyNumberFormat="1" applyFont="1" applyFill="1" applyBorder="1" applyAlignment="1">
      <alignment horizontal="right" vertical="center" indent="1"/>
    </xf>
    <xf numFmtId="165" fontId="38" fillId="3" borderId="10" xfId="1" applyNumberFormat="1" applyFont="1" applyFill="1" applyBorder="1" applyAlignment="1">
      <alignment horizontal="right" vertical="center" indent="1"/>
    </xf>
    <xf numFmtId="0" fontId="42" fillId="8" borderId="13" xfId="0" applyFont="1" applyFill="1" applyBorder="1" applyAlignment="1">
      <alignment horizontal="left" vertical="center" wrapText="1"/>
    </xf>
    <xf numFmtId="0" fontId="34" fillId="7" borderId="0" xfId="0" applyFont="1" applyFill="1" applyBorder="1" applyAlignment="1">
      <alignment horizontal="left" vertical="center" indent="3"/>
    </xf>
    <xf numFmtId="0" fontId="34" fillId="11" borderId="0" xfId="0" applyFont="1" applyFill="1" applyBorder="1" applyAlignment="1">
      <alignment horizontal="left" vertical="center" indent="3"/>
    </xf>
    <xf numFmtId="0" fontId="34" fillId="30" borderId="0" xfId="0" applyFont="1" applyFill="1" applyBorder="1" applyAlignment="1">
      <alignment horizontal="left" vertical="center" indent="3"/>
    </xf>
    <xf numFmtId="0" fontId="34" fillId="6" borderId="0" xfId="0" applyFont="1" applyFill="1" applyBorder="1" applyAlignment="1">
      <alignment horizontal="left" vertical="center" indent="3"/>
    </xf>
    <xf numFmtId="0" fontId="34" fillId="13" borderId="0" xfId="0" applyFont="1" applyFill="1" applyBorder="1" applyAlignment="1">
      <alignment horizontal="left" indent="3"/>
    </xf>
    <xf numFmtId="0" fontId="34" fillId="16" borderId="0" xfId="0" applyFont="1" applyFill="1" applyBorder="1" applyAlignment="1">
      <alignment horizontal="left" vertical="center" indent="3"/>
    </xf>
    <xf numFmtId="0" fontId="62" fillId="25" borderId="9" xfId="2" applyFont="1" applyFill="1" applyBorder="1" applyAlignment="1">
      <alignment horizontal="center" vertical="center" wrapText="1"/>
    </xf>
    <xf numFmtId="0" fontId="62" fillId="25" borderId="10" xfId="2" applyFont="1" applyFill="1" applyBorder="1" applyAlignment="1">
      <alignment horizontal="center" vertical="center" wrapText="1"/>
    </xf>
    <xf numFmtId="0" fontId="62" fillId="25" borderId="6" xfId="2" applyFont="1" applyFill="1" applyBorder="1" applyAlignment="1">
      <alignment horizontal="center" vertical="center" wrapText="1"/>
    </xf>
    <xf numFmtId="10" fontId="2" fillId="0" borderId="0" xfId="1" applyNumberFormat="1" applyFont="1" applyAlignment="1">
      <alignment vertical="center"/>
    </xf>
    <xf numFmtId="10" fontId="70" fillId="0" borderId="0" xfId="1" applyNumberFormat="1" applyFont="1" applyAlignment="1">
      <alignment vertical="center" wrapText="1"/>
    </xf>
    <xf numFmtId="9" fontId="62" fillId="0" borderId="0" xfId="1" applyFont="1" applyAlignment="1">
      <alignment vertical="center"/>
    </xf>
    <xf numFmtId="1" fontId="36" fillId="0" borderId="0" xfId="1" applyNumberFormat="1" applyFont="1" applyAlignment="1">
      <alignment vertical="center"/>
    </xf>
    <xf numFmtId="9" fontId="2" fillId="0" borderId="0" xfId="1" applyFont="1" applyAlignment="1">
      <alignment vertical="center"/>
    </xf>
    <xf numFmtId="0" fontId="24" fillId="13" borderId="0" xfId="0" applyFont="1" applyFill="1"/>
    <xf numFmtId="0" fontId="25" fillId="13" borderId="0" xfId="0" applyFont="1" applyFill="1"/>
    <xf numFmtId="0" fontId="0" fillId="13" borderId="0" xfId="0" applyFill="1"/>
    <xf numFmtId="0" fontId="85" fillId="32" borderId="0" xfId="0" applyFont="1" applyFill="1"/>
    <xf numFmtId="0" fontId="88" fillId="32" borderId="0" xfId="0" applyFont="1" applyFill="1"/>
    <xf numFmtId="0" fontId="84" fillId="32" borderId="0" xfId="0" applyFont="1" applyFill="1" applyAlignment="1"/>
    <xf numFmtId="0" fontId="23" fillId="32" borderId="0" xfId="0" applyFont="1" applyFill="1" applyAlignment="1">
      <alignment horizontal="right"/>
    </xf>
    <xf numFmtId="0" fontId="84" fillId="32" borderId="0" xfId="0" applyFont="1" applyFill="1"/>
    <xf numFmtId="0" fontId="65" fillId="7" borderId="0" xfId="0" applyFont="1" applyFill="1" applyAlignment="1"/>
    <xf numFmtId="0" fontId="65" fillId="7" borderId="0" xfId="0" applyFont="1" applyFill="1"/>
    <xf numFmtId="0" fontId="78" fillId="7" borderId="0" xfId="0" applyFont="1" applyFill="1"/>
    <xf numFmtId="0" fontId="67" fillId="7" borderId="0" xfId="0" applyFont="1" applyFill="1"/>
    <xf numFmtId="0" fontId="0" fillId="0" borderId="0" xfId="0" applyFont="1"/>
    <xf numFmtId="0" fontId="67" fillId="13" borderId="0" xfId="0" applyFont="1" applyFill="1"/>
    <xf numFmtId="0" fontId="67" fillId="11" borderId="0" xfId="0" applyFont="1" applyFill="1"/>
    <xf numFmtId="0" fontId="67" fillId="32" borderId="0" xfId="0" applyFont="1" applyFill="1"/>
    <xf numFmtId="0" fontId="67" fillId="32" borderId="0" xfId="0" applyFont="1" applyFill="1" applyAlignment="1"/>
    <xf numFmtId="0" fontId="67" fillId="11" borderId="0" xfId="0" applyFont="1" applyFill="1" applyAlignment="1"/>
    <xf numFmtId="0" fontId="67" fillId="7" borderId="0" xfId="0" applyFont="1" applyFill="1" applyAlignment="1"/>
    <xf numFmtId="0" fontId="65" fillId="13" borderId="0" xfId="0" applyFont="1" applyFill="1"/>
    <xf numFmtId="0" fontId="105" fillId="16" borderId="0" xfId="0" applyFont="1" applyFill="1"/>
    <xf numFmtId="0" fontId="103" fillId="16" borderId="0" xfId="0" applyFont="1" applyFill="1"/>
    <xf numFmtId="0" fontId="106" fillId="16" borderId="0" xfId="0" applyFont="1" applyFill="1" applyAlignment="1"/>
    <xf numFmtId="0" fontId="106" fillId="16" borderId="0" xfId="0" applyFont="1" applyFill="1"/>
    <xf numFmtId="0" fontId="21" fillId="16" borderId="0" xfId="0" applyFont="1" applyFill="1"/>
    <xf numFmtId="0" fontId="21" fillId="16" borderId="0" xfId="0" applyFont="1" applyFill="1" applyAlignment="1"/>
    <xf numFmtId="0" fontId="107" fillId="6" borderId="0" xfId="0" applyFont="1" applyFill="1"/>
    <xf numFmtId="0" fontId="108" fillId="6" borderId="0" xfId="0" applyFont="1" applyFill="1"/>
    <xf numFmtId="0" fontId="21" fillId="6" borderId="0" xfId="0" applyFont="1" applyFill="1" applyAlignment="1"/>
    <xf numFmtId="0" fontId="21" fillId="6" borderId="0" xfId="0" applyFont="1" applyFill="1"/>
    <xf numFmtId="167" fontId="42" fillId="0" borderId="6" xfId="2" applyNumberFormat="1" applyFont="1" applyBorder="1" applyAlignment="1">
      <alignment horizontal="center" vertical="center"/>
    </xf>
    <xf numFmtId="167" fontId="42" fillId="0" borderId="10" xfId="2" applyNumberFormat="1" applyFont="1" applyBorder="1" applyAlignment="1">
      <alignment horizontal="center" vertical="center"/>
    </xf>
    <xf numFmtId="0" fontId="36" fillId="25" borderId="1" xfId="0" applyFont="1" applyFill="1" applyBorder="1" applyAlignment="1">
      <alignment vertical="center" wrapText="1"/>
    </xf>
    <xf numFmtId="172" fontId="2" fillId="0" borderId="0" xfId="2" applyNumberFormat="1" applyFont="1" applyAlignment="1">
      <alignment vertical="center"/>
    </xf>
    <xf numFmtId="0" fontId="57" fillId="33" borderId="0" xfId="0" applyFont="1" applyFill="1" applyBorder="1" applyAlignment="1">
      <alignment horizontal="left" vertical="center" indent="3"/>
    </xf>
    <xf numFmtId="0" fontId="50" fillId="33" borderId="0" xfId="0" applyFont="1" applyFill="1" applyBorder="1" applyAlignment="1"/>
    <xf numFmtId="0" fontId="0" fillId="33" borderId="0" xfId="0" applyFill="1"/>
    <xf numFmtId="0" fontId="19" fillId="33" borderId="0" xfId="0" applyFont="1" applyFill="1" applyAlignment="1">
      <alignment vertical="center"/>
    </xf>
    <xf numFmtId="0" fontId="38" fillId="33" borderId="0" xfId="0" applyFont="1" applyFill="1" applyAlignment="1">
      <alignment horizontal="right" vertical="center"/>
    </xf>
    <xf numFmtId="0" fontId="94" fillId="33" borderId="0" xfId="0" applyFont="1" applyFill="1" applyAlignment="1">
      <alignment horizontal="left" indent="1"/>
    </xf>
    <xf numFmtId="0" fontId="50" fillId="34" borderId="0" xfId="0" applyFont="1" applyFill="1" applyBorder="1" applyAlignment="1"/>
    <xf numFmtId="0" fontId="0" fillId="34" borderId="0" xfId="0" applyFill="1"/>
    <xf numFmtId="0" fontId="19" fillId="34" borderId="0" xfId="0" applyFont="1" applyFill="1" applyAlignment="1">
      <alignment vertical="center"/>
    </xf>
    <xf numFmtId="0" fontId="38" fillId="34" borderId="0" xfId="0" applyFont="1" applyFill="1" applyAlignment="1">
      <alignment horizontal="right" vertical="center"/>
    </xf>
    <xf numFmtId="0" fontId="94" fillId="34" borderId="0" xfId="0" applyFont="1" applyFill="1" applyAlignment="1">
      <alignment horizontal="left" indent="1"/>
    </xf>
    <xf numFmtId="0" fontId="72" fillId="7" borderId="0" xfId="0" applyFont="1" applyFill="1"/>
    <xf numFmtId="0" fontId="72" fillId="13" borderId="0" xfId="0" applyFont="1" applyFill="1"/>
    <xf numFmtId="0" fontId="72" fillId="32" borderId="0" xfId="0" applyFont="1" applyFill="1"/>
    <xf numFmtId="0" fontId="72" fillId="11" borderId="0" xfId="0" applyFont="1" applyFill="1"/>
    <xf numFmtId="0" fontId="72" fillId="6" borderId="0" xfId="0" applyFont="1" applyFill="1"/>
    <xf numFmtId="0" fontId="72" fillId="16" borderId="0" xfId="0" applyFont="1" applyFill="1"/>
    <xf numFmtId="0" fontId="67" fillId="16" borderId="0" xfId="0" applyFont="1" applyFill="1" applyAlignment="1"/>
    <xf numFmtId="0" fontId="23" fillId="16" borderId="0" xfId="0" applyFont="1" applyFill="1" applyAlignment="1">
      <alignment horizontal="right"/>
    </xf>
    <xf numFmtId="0" fontId="67" fillId="16" borderId="0" xfId="0" applyFont="1" applyFill="1"/>
    <xf numFmtId="0" fontId="22" fillId="16" borderId="0" xfId="0" applyFont="1" applyFill="1"/>
    <xf numFmtId="0" fontId="22" fillId="0" borderId="0" xfId="0" applyFont="1"/>
    <xf numFmtId="0" fontId="67" fillId="6" borderId="0" xfId="0" applyFont="1" applyFill="1" applyAlignment="1"/>
    <xf numFmtId="0" fontId="23" fillId="6" borderId="0" xfId="0" applyFont="1" applyFill="1" applyAlignment="1">
      <alignment horizontal="right"/>
    </xf>
    <xf numFmtId="0" fontId="67" fillId="6" borderId="0" xfId="0" applyFont="1" applyFill="1"/>
    <xf numFmtId="0" fontId="98" fillId="6" borderId="0" xfId="0" applyFont="1" applyFill="1" applyAlignment="1"/>
    <xf numFmtId="0" fontId="67" fillId="6" borderId="0" xfId="0" applyFont="1" applyFill="1" applyAlignment="1">
      <alignment horizontal="left"/>
    </xf>
    <xf numFmtId="0" fontId="72" fillId="15" borderId="0" xfId="0" applyFont="1" applyFill="1"/>
    <xf numFmtId="0" fontId="107" fillId="15" borderId="0" xfId="0" applyFont="1" applyFill="1"/>
    <xf numFmtId="0" fontId="108" fillId="15" borderId="0" xfId="0" applyFont="1" applyFill="1"/>
    <xf numFmtId="0" fontId="67" fillId="15" borderId="0" xfId="0" applyFont="1" applyFill="1" applyAlignment="1"/>
    <xf numFmtId="0" fontId="21" fillId="15" borderId="0" xfId="0" applyFont="1" applyFill="1" applyAlignment="1"/>
    <xf numFmtId="0" fontId="23" fillId="15" borderId="0" xfId="0" applyFont="1" applyFill="1" applyAlignment="1">
      <alignment horizontal="right"/>
    </xf>
    <xf numFmtId="0" fontId="67" fillId="15" borderId="0" xfId="0" applyFont="1" applyFill="1"/>
    <xf numFmtId="0" fontId="21" fillId="15" borderId="0" xfId="0" applyFont="1" applyFill="1"/>
    <xf numFmtId="0" fontId="72" fillId="30" borderId="0" xfId="0" applyFont="1" applyFill="1"/>
    <xf numFmtId="0" fontId="107" fillId="30" borderId="0" xfId="0" applyFont="1" applyFill="1"/>
    <xf numFmtId="0" fontId="104" fillId="30" borderId="0" xfId="0" applyFont="1" applyFill="1"/>
    <xf numFmtId="0" fontId="21" fillId="30" borderId="0" xfId="0" applyFont="1" applyFill="1" applyAlignment="1"/>
    <xf numFmtId="0" fontId="21" fillId="30" borderId="0" xfId="0" applyFont="1" applyFill="1"/>
    <xf numFmtId="0" fontId="67" fillId="30" borderId="0" xfId="0" applyFont="1" applyFill="1" applyAlignment="1"/>
    <xf numFmtId="0" fontId="23" fillId="30" borderId="0" xfId="0" applyFont="1" applyFill="1" applyAlignment="1">
      <alignment horizontal="right"/>
    </xf>
    <xf numFmtId="0" fontId="67" fillId="30" borderId="0" xfId="0" applyFont="1" applyFill="1"/>
    <xf numFmtId="0" fontId="62" fillId="0" borderId="0" xfId="2" applyFont="1" applyFill="1" applyAlignment="1">
      <alignment vertical="center"/>
    </xf>
    <xf numFmtId="0" fontId="76" fillId="0" borderId="0" xfId="0" applyFont="1" applyFill="1" applyBorder="1" applyAlignment="1">
      <alignment vertical="center"/>
    </xf>
    <xf numFmtId="0" fontId="75" fillId="0" borderId="0" xfId="2" applyFont="1" applyFill="1" applyBorder="1" applyAlignment="1">
      <alignment vertical="center"/>
    </xf>
    <xf numFmtId="3" fontId="36" fillId="0" borderId="0" xfId="0" applyNumberFormat="1" applyFont="1" applyAlignment="1">
      <alignment vertical="center"/>
    </xf>
    <xf numFmtId="3" fontId="42" fillId="0" borderId="0" xfId="0" applyNumberFormat="1" applyFont="1" applyAlignment="1">
      <alignment vertical="center"/>
    </xf>
    <xf numFmtId="0" fontId="75" fillId="0" borderId="0" xfId="0" applyFont="1" applyFill="1" applyBorder="1" applyAlignment="1">
      <alignment vertical="center"/>
    </xf>
    <xf numFmtId="0" fontId="2" fillId="0" borderId="0" xfId="0" applyFont="1" applyFill="1" applyAlignment="1">
      <alignment vertical="center"/>
    </xf>
    <xf numFmtId="0" fontId="62" fillId="0" borderId="0" xfId="0" applyFont="1" applyFill="1" applyAlignment="1">
      <alignment vertical="center"/>
    </xf>
    <xf numFmtId="0" fontId="69" fillId="0" borderId="0" xfId="0" applyFont="1" applyFill="1" applyAlignment="1">
      <alignment vertical="center"/>
    </xf>
    <xf numFmtId="0" fontId="62" fillId="25" borderId="9" xfId="2" applyFont="1" applyFill="1" applyBorder="1" applyAlignment="1">
      <alignment horizontal="center" vertical="center"/>
    </xf>
    <xf numFmtId="9" fontId="70" fillId="0" borderId="0" xfId="1" applyFont="1" applyAlignment="1">
      <alignment vertical="center"/>
    </xf>
    <xf numFmtId="0" fontId="2" fillId="0" borderId="0" xfId="2" applyFont="1" applyAlignment="1">
      <alignment horizontal="left" vertical="center"/>
    </xf>
    <xf numFmtId="171" fontId="38" fillId="12" borderId="1" xfId="1" applyNumberFormat="1" applyFont="1" applyFill="1" applyBorder="1" applyAlignment="1">
      <alignment horizontal="right" vertical="center" indent="1"/>
    </xf>
    <xf numFmtId="165" fontId="38" fillId="0" borderId="0" xfId="1" applyNumberFormat="1" applyFont="1"/>
    <xf numFmtId="1" fontId="67" fillId="13" borderId="9" xfId="0" applyNumberFormat="1" applyFont="1" applyFill="1" applyBorder="1" applyAlignment="1">
      <alignment horizontal="center" vertical="center" wrapText="1"/>
    </xf>
    <xf numFmtId="1" fontId="67" fillId="13" borderId="6" xfId="0" applyNumberFormat="1" applyFont="1" applyFill="1" applyBorder="1" applyAlignment="1">
      <alignment horizontal="center" vertical="center" wrapText="1"/>
    </xf>
    <xf numFmtId="1" fontId="67" fillId="13" borderId="10" xfId="0" applyNumberFormat="1" applyFont="1" applyFill="1" applyBorder="1" applyAlignment="1">
      <alignment horizontal="center" vertical="center" wrapText="1"/>
    </xf>
    <xf numFmtId="167" fontId="38" fillId="3" borderId="0" xfId="0" applyNumberFormat="1" applyFont="1" applyFill="1" applyBorder="1" applyAlignment="1">
      <alignment horizontal="right" vertical="center"/>
    </xf>
    <xf numFmtId="165" fontId="0" fillId="3" borderId="0" xfId="1" applyNumberFormat="1" applyFont="1" applyFill="1" applyAlignment="1">
      <alignment vertical="center"/>
    </xf>
    <xf numFmtId="165" fontId="19" fillId="0" borderId="0" xfId="1" applyNumberFormat="1" applyFont="1"/>
    <xf numFmtId="0" fontId="86" fillId="3" borderId="0" xfId="0" applyFont="1" applyFill="1" applyBorder="1" applyAlignment="1">
      <alignment vertical="top" wrapText="1"/>
    </xf>
    <xf numFmtId="0" fontId="86" fillId="3" borderId="3" xfId="0" applyFont="1" applyFill="1" applyBorder="1" applyAlignment="1">
      <alignment vertical="top" wrapText="1"/>
    </xf>
    <xf numFmtId="0" fontId="86" fillId="3" borderId="22" xfId="0" applyFont="1" applyFill="1" applyBorder="1" applyAlignment="1">
      <alignment vertical="top" wrapText="1"/>
    </xf>
    <xf numFmtId="167" fontId="2" fillId="0" borderId="0" xfId="2" applyNumberFormat="1" applyFont="1" applyAlignment="1">
      <alignment horizontal="left" vertical="center"/>
    </xf>
    <xf numFmtId="169" fontId="38" fillId="3" borderId="0" xfId="0" applyNumberFormat="1" applyFont="1" applyFill="1" applyBorder="1" applyAlignment="1">
      <alignment horizontal="right" vertical="center"/>
    </xf>
    <xf numFmtId="3" fontId="62" fillId="0" borderId="11" xfId="2" applyNumberFormat="1" applyFont="1" applyFill="1" applyBorder="1" applyAlignment="1">
      <alignment horizontal="left" vertical="center" wrapText="1"/>
    </xf>
    <xf numFmtId="1" fontId="62" fillId="0" borderId="2" xfId="2" applyNumberFormat="1" applyFont="1" applyFill="1" applyBorder="1" applyAlignment="1">
      <alignment horizontal="left" vertical="center"/>
    </xf>
    <xf numFmtId="1" fontId="62" fillId="0" borderId="11" xfId="2" applyNumberFormat="1" applyFont="1" applyFill="1" applyBorder="1" applyAlignment="1">
      <alignment horizontal="left" vertical="center"/>
    </xf>
    <xf numFmtId="1" fontId="62" fillId="0" borderId="4" xfId="2" applyNumberFormat="1" applyFont="1" applyFill="1" applyBorder="1" applyAlignment="1">
      <alignment horizontal="left" vertical="center"/>
    </xf>
    <xf numFmtId="1" fontId="38" fillId="35" borderId="3" xfId="2" applyNumberFormat="1" applyFont="1" applyFill="1" applyBorder="1" applyAlignment="1">
      <alignment horizontal="left" vertical="center"/>
    </xf>
    <xf numFmtId="1" fontId="41" fillId="36" borderId="9" xfId="2" applyNumberFormat="1" applyFont="1" applyFill="1" applyBorder="1" applyAlignment="1">
      <alignment horizontal="left" vertical="center"/>
    </xf>
    <xf numFmtId="167" fontId="38" fillId="0" borderId="0" xfId="2" applyNumberFormat="1" applyFont="1" applyFill="1" applyBorder="1" applyAlignment="1">
      <alignment horizontal="center" vertical="center"/>
    </xf>
    <xf numFmtId="167" fontId="38" fillId="0" borderId="22" xfId="2" applyNumberFormat="1" applyFont="1" applyFill="1" applyBorder="1" applyAlignment="1">
      <alignment horizontal="center" vertical="center"/>
    </xf>
    <xf numFmtId="1" fontId="38" fillId="35" borderId="11" xfId="2" applyNumberFormat="1" applyFont="1" applyFill="1" applyBorder="1" applyAlignment="1">
      <alignment horizontal="left" vertical="center"/>
    </xf>
    <xf numFmtId="1" fontId="38" fillId="24" borderId="3" xfId="2" applyNumberFormat="1" applyFont="1" applyFill="1" applyBorder="1" applyAlignment="1">
      <alignment horizontal="left" vertical="center"/>
    </xf>
    <xf numFmtId="1" fontId="38" fillId="24" borderId="11" xfId="2" applyNumberFormat="1" applyFont="1" applyFill="1" applyBorder="1" applyAlignment="1">
      <alignment horizontal="left" vertical="center"/>
    </xf>
    <xf numFmtId="1" fontId="38" fillId="24" borderId="45" xfId="2" applyNumberFormat="1" applyFont="1" applyFill="1" applyBorder="1" applyAlignment="1">
      <alignment horizontal="left" vertical="center"/>
    </xf>
    <xf numFmtId="1" fontId="38" fillId="24" borderId="44" xfId="2" applyNumberFormat="1" applyFont="1" applyFill="1" applyBorder="1" applyAlignment="1">
      <alignment horizontal="left" vertical="center"/>
    </xf>
    <xf numFmtId="167" fontId="42" fillId="0" borderId="46" xfId="2" applyNumberFormat="1" applyFont="1" applyBorder="1" applyAlignment="1">
      <alignment horizontal="center" vertical="center"/>
    </xf>
    <xf numFmtId="1" fontId="38" fillId="35" borderId="45" xfId="2" applyNumberFormat="1" applyFont="1" applyFill="1" applyBorder="1" applyAlignment="1">
      <alignment horizontal="left" vertical="center"/>
    </xf>
    <xf numFmtId="1" fontId="38" fillId="35" borderId="44" xfId="2" applyNumberFormat="1" applyFont="1" applyFill="1" applyBorder="1" applyAlignment="1">
      <alignment horizontal="left" vertical="center"/>
    </xf>
    <xf numFmtId="167" fontId="38" fillId="0" borderId="15" xfId="2" applyNumberFormat="1" applyFont="1" applyFill="1" applyBorder="1" applyAlignment="1">
      <alignment horizontal="center" vertical="center"/>
    </xf>
    <xf numFmtId="167" fontId="38" fillId="0" borderId="17" xfId="2" applyNumberFormat="1" applyFont="1" applyFill="1" applyBorder="1" applyAlignment="1">
      <alignment horizontal="center" vertical="center"/>
    </xf>
    <xf numFmtId="167" fontId="38" fillId="0" borderId="0" xfId="2" applyNumberFormat="1" applyFont="1" applyBorder="1" applyAlignment="1">
      <alignment horizontal="center" vertical="center"/>
    </xf>
    <xf numFmtId="167" fontId="38" fillId="0" borderId="5" xfId="2" applyNumberFormat="1" applyFont="1" applyBorder="1" applyAlignment="1">
      <alignment horizontal="center" vertical="center"/>
    </xf>
    <xf numFmtId="167" fontId="38" fillId="0" borderId="14" xfId="2" applyNumberFormat="1" applyFont="1" applyFill="1" applyBorder="1" applyAlignment="1">
      <alignment horizontal="center" vertical="center"/>
    </xf>
    <xf numFmtId="165" fontId="42" fillId="0" borderId="17" xfId="1" applyNumberFormat="1" applyFont="1" applyBorder="1" applyAlignment="1">
      <alignment horizontal="center" vertical="center"/>
    </xf>
    <xf numFmtId="165" fontId="42" fillId="0" borderId="0" xfId="1" applyNumberFormat="1" applyFont="1" applyBorder="1" applyAlignment="1">
      <alignment horizontal="center" vertical="center"/>
    </xf>
    <xf numFmtId="165" fontId="38" fillId="0" borderId="15" xfId="1" applyNumberFormat="1" applyFont="1" applyFill="1" applyBorder="1" applyAlignment="1">
      <alignment horizontal="center" vertical="center"/>
    </xf>
    <xf numFmtId="165" fontId="42" fillId="0" borderId="6" xfId="1" applyNumberFormat="1" applyFont="1" applyBorder="1" applyAlignment="1">
      <alignment horizontal="center" vertical="center"/>
    </xf>
    <xf numFmtId="167" fontId="42" fillId="0" borderId="45" xfId="2" applyNumberFormat="1" applyFont="1" applyBorder="1" applyAlignment="1">
      <alignment horizontal="center" vertical="center"/>
    </xf>
    <xf numFmtId="167" fontId="42" fillId="0" borderId="47" xfId="2" applyNumberFormat="1" applyFont="1" applyBorder="1" applyAlignment="1">
      <alignment horizontal="center" vertical="center"/>
    </xf>
    <xf numFmtId="167" fontId="38" fillId="0" borderId="16" xfId="2" applyNumberFormat="1" applyFont="1" applyFill="1" applyBorder="1" applyAlignment="1">
      <alignment horizontal="center" vertical="center"/>
    </xf>
    <xf numFmtId="167" fontId="38" fillId="0" borderId="3" xfId="2" applyNumberFormat="1" applyFont="1" applyFill="1" applyBorder="1" applyAlignment="1">
      <alignment horizontal="center" vertical="center"/>
    </xf>
    <xf numFmtId="167" fontId="38" fillId="0" borderId="3" xfId="2" applyNumberFormat="1" applyFont="1" applyBorder="1" applyAlignment="1">
      <alignment horizontal="center" vertical="center"/>
    </xf>
    <xf numFmtId="167" fontId="38" fillId="0" borderId="22" xfId="2" applyNumberFormat="1" applyFont="1" applyBorder="1" applyAlignment="1">
      <alignment horizontal="center" vertical="center"/>
    </xf>
    <xf numFmtId="167" fontId="38" fillId="0" borderId="13" xfId="2" applyNumberFormat="1" applyFont="1" applyBorder="1" applyAlignment="1">
      <alignment horizontal="center" vertical="center"/>
    </xf>
    <xf numFmtId="167" fontId="38" fillId="0" borderId="14" xfId="2" applyNumberFormat="1" applyFont="1" applyBorder="1" applyAlignment="1">
      <alignment horizontal="center" vertical="center"/>
    </xf>
    <xf numFmtId="168" fontId="42" fillId="0" borderId="47" xfId="2" applyNumberFormat="1" applyFont="1" applyBorder="1" applyAlignment="1">
      <alignment horizontal="center" vertical="center"/>
    </xf>
    <xf numFmtId="168" fontId="38" fillId="0" borderId="15" xfId="2" applyNumberFormat="1" applyFont="1" applyFill="1" applyBorder="1" applyAlignment="1">
      <alignment horizontal="center" vertical="center"/>
    </xf>
    <xf numFmtId="49" fontId="41" fillId="23" borderId="16" xfId="2" applyNumberFormat="1" applyFont="1" applyFill="1" applyBorder="1" applyAlignment="1">
      <alignment horizontal="left" vertical="center"/>
    </xf>
    <xf numFmtId="49" fontId="41" fillId="23" borderId="3" xfId="2" applyNumberFormat="1" applyFont="1" applyFill="1" applyBorder="1" applyAlignment="1">
      <alignment horizontal="left" vertical="center"/>
    </xf>
    <xf numFmtId="49" fontId="38" fillId="35" borderId="45" xfId="2" applyNumberFormat="1" applyFont="1" applyFill="1" applyBorder="1" applyAlignment="1">
      <alignment horizontal="left" vertical="center"/>
    </xf>
    <xf numFmtId="49" fontId="38" fillId="35" borderId="3" xfId="2" applyNumberFormat="1" applyFont="1" applyFill="1" applyBorder="1" applyAlignment="1">
      <alignment horizontal="left" vertical="center"/>
    </xf>
    <xf numFmtId="49" fontId="38" fillId="24" borderId="45" xfId="2" applyNumberFormat="1" applyFont="1" applyFill="1" applyBorder="1" applyAlignment="1">
      <alignment horizontal="left" vertical="center"/>
    </xf>
    <xf numFmtId="49" fontId="38" fillId="24" borderId="3" xfId="2" applyNumberFormat="1" applyFont="1" applyFill="1" applyBorder="1" applyAlignment="1">
      <alignment horizontal="left" vertical="center"/>
    </xf>
    <xf numFmtId="49" fontId="38" fillId="24" borderId="13" xfId="2" applyNumberFormat="1" applyFont="1" applyFill="1" applyBorder="1" applyAlignment="1">
      <alignment horizontal="left" vertical="center"/>
    </xf>
    <xf numFmtId="1" fontId="62" fillId="25" borderId="16" xfId="0" applyNumberFormat="1" applyFont="1" applyFill="1" applyBorder="1" applyAlignment="1">
      <alignment horizontal="center" vertical="center" wrapText="1"/>
    </xf>
    <xf numFmtId="167" fontId="42" fillId="0" borderId="6" xfId="2" applyNumberFormat="1" applyFont="1" applyFill="1" applyBorder="1" applyAlignment="1">
      <alignment horizontal="center" vertical="center"/>
    </xf>
    <xf numFmtId="167" fontId="42" fillId="0" borderId="10" xfId="2" applyNumberFormat="1" applyFont="1" applyFill="1" applyBorder="1" applyAlignment="1">
      <alignment horizontal="center" vertical="center"/>
    </xf>
    <xf numFmtId="167" fontId="42" fillId="0" borderId="6" xfId="2" applyNumberFormat="1" applyFont="1" applyBorder="1" applyAlignment="1">
      <alignment horizontal="center" vertical="center"/>
    </xf>
    <xf numFmtId="2" fontId="41" fillId="9" borderId="9" xfId="0" applyNumberFormat="1" applyFont="1" applyFill="1" applyBorder="1" applyAlignment="1">
      <alignment vertical="center"/>
    </xf>
    <xf numFmtId="1" fontId="62" fillId="3" borderId="0" xfId="0" applyNumberFormat="1" applyFont="1" applyFill="1" applyBorder="1" applyAlignment="1">
      <alignment horizontal="center" vertical="center" wrapText="1"/>
    </xf>
    <xf numFmtId="167" fontId="42" fillId="3" borderId="0" xfId="2" applyNumberFormat="1" applyFont="1" applyFill="1" applyBorder="1" applyAlignment="1">
      <alignment horizontal="center" vertical="center"/>
    </xf>
    <xf numFmtId="167" fontId="38" fillId="3" borderId="0" xfId="2" applyNumberFormat="1" applyFont="1" applyFill="1" applyBorder="1" applyAlignment="1">
      <alignment horizontal="center" vertical="center"/>
    </xf>
    <xf numFmtId="165" fontId="42" fillId="3" borderId="0" xfId="1" applyNumberFormat="1" applyFont="1" applyFill="1" applyBorder="1" applyAlignment="1">
      <alignment horizontal="right" vertical="center"/>
    </xf>
    <xf numFmtId="0" fontId="72" fillId="3" borderId="0" xfId="2" applyFont="1" applyFill="1" applyBorder="1" applyAlignment="1">
      <alignment horizontal="center" vertical="center"/>
    </xf>
    <xf numFmtId="0" fontId="41" fillId="3" borderId="0" xfId="0" applyFont="1" applyFill="1" applyBorder="1" applyAlignment="1">
      <alignment vertical="center"/>
    </xf>
    <xf numFmtId="0" fontId="79" fillId="3" borderId="0" xfId="0" applyFont="1" applyFill="1" applyBorder="1" applyAlignment="1">
      <alignment horizontal="left" vertical="center"/>
    </xf>
    <xf numFmtId="0" fontId="62" fillId="0" borderId="0" xfId="2" applyFont="1" applyBorder="1" applyAlignment="1">
      <alignment vertical="center"/>
    </xf>
    <xf numFmtId="167" fontId="42" fillId="0" borderId="10" xfId="2" applyNumberFormat="1" applyFont="1" applyBorder="1" applyAlignment="1">
      <alignment horizontal="center" vertical="center"/>
    </xf>
    <xf numFmtId="167" fontId="42" fillId="0" borderId="17" xfId="2" applyNumberFormat="1" applyFont="1" applyBorder="1" applyAlignment="1">
      <alignment horizontal="center" vertical="center"/>
    </xf>
    <xf numFmtId="165" fontId="42" fillId="0" borderId="22" xfId="1" applyNumberFormat="1" applyFont="1" applyBorder="1" applyAlignment="1">
      <alignment horizontal="center" vertical="center"/>
    </xf>
    <xf numFmtId="165" fontId="42" fillId="0" borderId="48" xfId="1" applyNumberFormat="1" applyFont="1" applyBorder="1" applyAlignment="1">
      <alignment horizontal="center" vertical="center"/>
    </xf>
    <xf numFmtId="0" fontId="62" fillId="25" borderId="15" xfId="2" applyFont="1" applyFill="1" applyBorder="1" applyAlignment="1">
      <alignment horizontal="center" vertical="center"/>
    </xf>
    <xf numFmtId="0" fontId="62" fillId="25" borderId="17" xfId="2" applyFont="1" applyFill="1" applyBorder="1" applyAlignment="1">
      <alignment horizontal="center" vertical="center"/>
    </xf>
    <xf numFmtId="1" fontId="71" fillId="0" borderId="51" xfId="0" applyNumberFormat="1" applyFont="1" applyFill="1" applyBorder="1" applyAlignment="1">
      <alignment horizontal="left"/>
    </xf>
    <xf numFmtId="167" fontId="42" fillId="0" borderId="49" xfId="2" applyNumberFormat="1" applyFont="1" applyBorder="1" applyAlignment="1">
      <alignment horizontal="center" vertical="center"/>
    </xf>
    <xf numFmtId="167" fontId="42" fillId="0" borderId="50" xfId="2" applyNumberFormat="1" applyFont="1" applyBorder="1" applyAlignment="1">
      <alignment horizontal="center" vertical="center"/>
    </xf>
    <xf numFmtId="167" fontId="38" fillId="0" borderId="46" xfId="2" applyNumberFormat="1" applyFont="1" applyFill="1" applyBorder="1" applyAlignment="1">
      <alignment horizontal="center" vertical="center"/>
    </xf>
    <xf numFmtId="167" fontId="38" fillId="0" borderId="47" xfId="2" applyNumberFormat="1" applyFont="1" applyFill="1" applyBorder="1" applyAlignment="1">
      <alignment horizontal="center" vertical="center"/>
    </xf>
    <xf numFmtId="167" fontId="38" fillId="0" borderId="49" xfId="2" applyNumberFormat="1" applyFont="1" applyFill="1" applyBorder="1" applyAlignment="1">
      <alignment horizontal="center" vertical="center"/>
    </xf>
    <xf numFmtId="167" fontId="38" fillId="0" borderId="50" xfId="2" applyNumberFormat="1" applyFont="1" applyFill="1" applyBorder="1" applyAlignment="1">
      <alignment horizontal="center" vertical="center"/>
    </xf>
    <xf numFmtId="167" fontId="38" fillId="0" borderId="45" xfId="2" applyNumberFormat="1" applyFont="1" applyFill="1" applyBorder="1" applyAlignment="1">
      <alignment horizontal="center" vertical="center"/>
    </xf>
    <xf numFmtId="167" fontId="38" fillId="0" borderId="48" xfId="2" applyNumberFormat="1" applyFont="1" applyFill="1" applyBorder="1" applyAlignment="1">
      <alignment horizontal="center" vertical="center"/>
    </xf>
    <xf numFmtId="0" fontId="62" fillId="3" borderId="0" xfId="2" applyFont="1" applyFill="1" applyAlignment="1">
      <alignment vertical="center"/>
    </xf>
    <xf numFmtId="0" fontId="2" fillId="3" borderId="0" xfId="2" applyFont="1" applyFill="1" applyAlignment="1">
      <alignment vertical="center"/>
    </xf>
    <xf numFmtId="167" fontId="42" fillId="0" borderId="14" xfId="2" applyNumberFormat="1" applyFont="1" applyBorder="1" applyAlignment="1">
      <alignment horizontal="center" vertical="center"/>
    </xf>
    <xf numFmtId="167" fontId="38" fillId="0" borderId="5" xfId="2" applyNumberFormat="1" applyFont="1" applyFill="1" applyBorder="1" applyAlignment="1">
      <alignment horizontal="center" vertical="center"/>
    </xf>
    <xf numFmtId="167" fontId="42" fillId="36" borderId="6" xfId="2" applyNumberFormat="1" applyFont="1" applyFill="1" applyBorder="1" applyAlignment="1">
      <alignment horizontal="center" vertical="center"/>
    </xf>
    <xf numFmtId="167" fontId="42" fillId="36" borderId="10" xfId="2" applyNumberFormat="1" applyFont="1" applyFill="1" applyBorder="1" applyAlignment="1">
      <alignment horizontal="center" vertical="center"/>
    </xf>
    <xf numFmtId="0" fontId="62" fillId="25" borderId="6" xfId="2" applyFont="1" applyFill="1" applyBorder="1" applyAlignment="1">
      <alignment horizontal="center" vertical="center"/>
    </xf>
    <xf numFmtId="167" fontId="42" fillId="0" borderId="9" xfId="2" applyNumberFormat="1" applyFont="1" applyBorder="1" applyAlignment="1">
      <alignment horizontal="center" vertical="center"/>
    </xf>
    <xf numFmtId="167" fontId="42" fillId="0" borderId="10" xfId="2" applyNumberFormat="1" applyFont="1" applyBorder="1" applyAlignment="1">
      <alignment horizontal="center" vertical="center"/>
    </xf>
    <xf numFmtId="167" fontId="42" fillId="0" borderId="16" xfId="2" applyNumberFormat="1" applyFont="1" applyBorder="1" applyAlignment="1">
      <alignment horizontal="center" vertical="center"/>
    </xf>
    <xf numFmtId="167" fontId="42" fillId="0" borderId="15" xfId="2" applyNumberFormat="1" applyFont="1" applyBorder="1" applyAlignment="1">
      <alignment horizontal="center" vertical="center"/>
    </xf>
    <xf numFmtId="167" fontId="42" fillId="0" borderId="3" xfId="2" applyNumberFormat="1" applyFont="1" applyBorder="1" applyAlignment="1">
      <alignment horizontal="center" vertical="center"/>
    </xf>
    <xf numFmtId="167" fontId="42" fillId="0" borderId="0" xfId="2" applyNumberFormat="1" applyFont="1" applyBorder="1" applyAlignment="1">
      <alignment horizontal="center" vertical="center"/>
    </xf>
    <xf numFmtId="167" fontId="42" fillId="0" borderId="48" xfId="2" applyNumberFormat="1" applyFont="1" applyBorder="1" applyAlignment="1">
      <alignment horizontal="center" vertical="center"/>
    </xf>
    <xf numFmtId="167" fontId="42" fillId="0" borderId="49" xfId="2" applyNumberFormat="1" applyFont="1" applyBorder="1" applyAlignment="1">
      <alignment horizontal="center" vertical="center"/>
    </xf>
    <xf numFmtId="167" fontId="42" fillId="0" borderId="45" xfId="2" applyNumberFormat="1" applyFont="1" applyBorder="1" applyAlignment="1">
      <alignment horizontal="center" vertical="center"/>
    </xf>
    <xf numFmtId="167" fontId="42" fillId="0" borderId="46" xfId="2" applyNumberFormat="1" applyFont="1" applyBorder="1" applyAlignment="1">
      <alignment horizontal="center" vertical="center"/>
    </xf>
    <xf numFmtId="165" fontId="42" fillId="36" borderId="6" xfId="1" applyNumberFormat="1" applyFont="1" applyFill="1" applyBorder="1" applyAlignment="1">
      <alignment horizontal="center" vertical="center"/>
    </xf>
    <xf numFmtId="165" fontId="42" fillId="36" borderId="10" xfId="1" applyNumberFormat="1" applyFont="1" applyFill="1" applyBorder="1" applyAlignment="1">
      <alignment horizontal="center" vertical="center"/>
    </xf>
    <xf numFmtId="167" fontId="42" fillId="36" borderId="9" xfId="2" applyNumberFormat="1" applyFont="1" applyFill="1" applyBorder="1" applyAlignment="1">
      <alignment horizontal="center" vertical="center"/>
    </xf>
    <xf numFmtId="167" fontId="42" fillId="0" borderId="45" xfId="2" applyNumberFormat="1" applyFont="1" applyBorder="1" applyAlignment="1">
      <alignment horizontal="center" vertical="center"/>
    </xf>
    <xf numFmtId="167" fontId="42" fillId="0" borderId="46" xfId="2" applyNumberFormat="1" applyFont="1" applyBorder="1" applyAlignment="1">
      <alignment horizontal="center" vertical="center"/>
    </xf>
    <xf numFmtId="167" fontId="42" fillId="0" borderId="3" xfId="2" applyNumberFormat="1" applyFont="1" applyBorder="1" applyAlignment="1">
      <alignment horizontal="center" vertical="center"/>
    </xf>
    <xf numFmtId="167" fontId="42" fillId="0" borderId="0" xfId="2" applyNumberFormat="1" applyFont="1" applyBorder="1" applyAlignment="1">
      <alignment horizontal="center" vertical="center"/>
    </xf>
    <xf numFmtId="167" fontId="42" fillId="0" borderId="48" xfId="2" applyNumberFormat="1" applyFont="1" applyBorder="1" applyAlignment="1">
      <alignment horizontal="center" vertical="center"/>
    </xf>
    <xf numFmtId="167" fontId="42" fillId="0" borderId="49" xfId="2" applyNumberFormat="1" applyFont="1" applyBorder="1" applyAlignment="1">
      <alignment horizontal="center" vertical="center"/>
    </xf>
    <xf numFmtId="167" fontId="42" fillId="0" borderId="16" xfId="2" applyNumberFormat="1" applyFont="1" applyBorder="1" applyAlignment="1">
      <alignment horizontal="center" vertical="center"/>
    </xf>
    <xf numFmtId="167" fontId="42" fillId="0" borderId="15" xfId="2" applyNumberFormat="1" applyFont="1" applyBorder="1" applyAlignment="1">
      <alignment horizontal="center" vertical="center"/>
    </xf>
    <xf numFmtId="167" fontId="42" fillId="0" borderId="9" xfId="2" applyNumberFormat="1" applyFont="1" applyBorder="1" applyAlignment="1">
      <alignment horizontal="center" vertical="center"/>
    </xf>
    <xf numFmtId="167" fontId="42" fillId="0" borderId="10" xfId="2" applyNumberFormat="1" applyFont="1" applyBorder="1" applyAlignment="1">
      <alignment horizontal="center" vertical="center"/>
    </xf>
    <xf numFmtId="0" fontId="70" fillId="3" borderId="0" xfId="2" applyFont="1" applyFill="1" applyAlignment="1">
      <alignment vertical="center"/>
    </xf>
    <xf numFmtId="0" fontId="42" fillId="3" borderId="0" xfId="0" applyFont="1" applyFill="1" applyAlignment="1">
      <alignment vertical="center"/>
    </xf>
    <xf numFmtId="171" fontId="42" fillId="0" borderId="15" xfId="2" applyNumberFormat="1" applyFont="1" applyFill="1" applyBorder="1" applyAlignment="1">
      <alignment horizontal="center" vertical="center"/>
    </xf>
    <xf numFmtId="165" fontId="42" fillId="0" borderId="15" xfId="1" applyNumberFormat="1" applyFont="1" applyFill="1" applyBorder="1" applyAlignment="1">
      <alignment horizontal="center" vertical="center"/>
    </xf>
    <xf numFmtId="9" fontId="71" fillId="30" borderId="1" xfId="1" applyFont="1" applyFill="1" applyBorder="1" applyAlignment="1">
      <alignment horizontal="center" vertical="center" wrapText="1"/>
    </xf>
    <xf numFmtId="0" fontId="71" fillId="30" borderId="1" xfId="0" applyFont="1" applyFill="1" applyBorder="1" applyAlignment="1">
      <alignment horizontal="center" vertical="center" wrapText="1"/>
    </xf>
    <xf numFmtId="171" fontId="38" fillId="3" borderId="0" xfId="2" applyNumberFormat="1" applyFont="1" applyFill="1" applyBorder="1" applyAlignment="1">
      <alignment horizontal="center" vertical="center"/>
    </xf>
    <xf numFmtId="171" fontId="74" fillId="3" borderId="5" xfId="2" applyNumberFormat="1" applyFont="1" applyFill="1" applyBorder="1" applyAlignment="1">
      <alignment horizontal="center" vertical="center"/>
    </xf>
    <xf numFmtId="167" fontId="38" fillId="3" borderId="49" xfId="2" applyNumberFormat="1" applyFont="1" applyFill="1" applyBorder="1" applyAlignment="1">
      <alignment horizontal="center" vertical="center"/>
    </xf>
    <xf numFmtId="171" fontId="42" fillId="3" borderId="9" xfId="2" applyNumberFormat="1" applyFont="1" applyFill="1" applyBorder="1" applyAlignment="1">
      <alignment horizontal="center" vertical="center"/>
    </xf>
    <xf numFmtId="171" fontId="42" fillId="0" borderId="16" xfId="2" applyNumberFormat="1" applyFont="1" applyFill="1" applyBorder="1" applyAlignment="1">
      <alignment horizontal="center" vertical="center"/>
    </xf>
    <xf numFmtId="171" fontId="42" fillId="0" borderId="3" xfId="2" applyNumberFormat="1" applyFont="1" applyFill="1" applyBorder="1" applyAlignment="1">
      <alignment horizontal="center" vertical="center"/>
    </xf>
    <xf numFmtId="171" fontId="42" fillId="0" borderId="0" xfId="2" applyNumberFormat="1" applyFont="1" applyFill="1" applyBorder="1" applyAlignment="1">
      <alignment horizontal="center" vertical="center"/>
    </xf>
    <xf numFmtId="165" fontId="42" fillId="0" borderId="0" xfId="1" applyNumberFormat="1" applyFont="1" applyFill="1" applyBorder="1" applyAlignment="1">
      <alignment horizontal="center" vertical="center"/>
    </xf>
    <xf numFmtId="171" fontId="42" fillId="0" borderId="48" xfId="2" applyNumberFormat="1" applyFont="1" applyFill="1" applyBorder="1" applyAlignment="1">
      <alignment horizontal="center" vertical="center"/>
    </xf>
    <xf numFmtId="171" fontId="42" fillId="0" borderId="49" xfId="2" applyNumberFormat="1" applyFont="1" applyFill="1" applyBorder="1" applyAlignment="1">
      <alignment horizontal="center" vertical="center"/>
    </xf>
    <xf numFmtId="165" fontId="42" fillId="0" borderId="49" xfId="1" applyNumberFormat="1" applyFont="1" applyFill="1" applyBorder="1" applyAlignment="1">
      <alignment horizontal="center" vertical="center"/>
    </xf>
    <xf numFmtId="171" fontId="42" fillId="0" borderId="45" xfId="2" applyNumberFormat="1" applyFont="1" applyFill="1" applyBorder="1" applyAlignment="1">
      <alignment horizontal="center" vertical="center"/>
    </xf>
    <xf numFmtId="171" fontId="42" fillId="0" borderId="46" xfId="2" applyNumberFormat="1" applyFont="1" applyFill="1" applyBorder="1" applyAlignment="1">
      <alignment horizontal="center" vertical="center"/>
    </xf>
    <xf numFmtId="165" fontId="42" fillId="0" borderId="46" xfId="1" applyNumberFormat="1" applyFont="1" applyFill="1" applyBorder="1" applyAlignment="1">
      <alignment horizontal="center" vertical="center"/>
    </xf>
    <xf numFmtId="165" fontId="38" fillId="0" borderId="46" xfId="1" applyNumberFormat="1" applyFont="1" applyFill="1" applyBorder="1" applyAlignment="1">
      <alignment horizontal="center" vertical="center"/>
    </xf>
    <xf numFmtId="165" fontId="38" fillId="0" borderId="49" xfId="1" applyNumberFormat="1" applyFont="1" applyFill="1" applyBorder="1" applyAlignment="1">
      <alignment horizontal="center" vertical="center"/>
    </xf>
    <xf numFmtId="165" fontId="38" fillId="0" borderId="5" xfId="1" applyNumberFormat="1" applyFont="1" applyFill="1" applyBorder="1" applyAlignment="1">
      <alignment horizontal="center" vertical="center"/>
    </xf>
    <xf numFmtId="171" fontId="42" fillId="3" borderId="6" xfId="2" applyNumberFormat="1" applyFont="1" applyFill="1" applyBorder="1" applyAlignment="1">
      <alignment horizontal="center" vertical="center"/>
    </xf>
    <xf numFmtId="165" fontId="42" fillId="0" borderId="9" xfId="1" applyNumberFormat="1" applyFont="1" applyBorder="1" applyAlignment="1">
      <alignment horizontal="center" vertical="center"/>
    </xf>
    <xf numFmtId="165" fontId="42" fillId="0" borderId="10" xfId="1" applyNumberFormat="1" applyFont="1" applyBorder="1" applyAlignment="1">
      <alignment horizontal="center" vertical="center"/>
    </xf>
    <xf numFmtId="165" fontId="42" fillId="0" borderId="14" xfId="1" applyNumberFormat="1" applyFont="1" applyBorder="1" applyAlignment="1">
      <alignment horizontal="center" vertical="center"/>
    </xf>
    <xf numFmtId="165" fontId="38" fillId="0" borderId="45" xfId="1" applyNumberFormat="1" applyFont="1" applyFill="1" applyBorder="1" applyAlignment="1">
      <alignment horizontal="center" vertical="center"/>
    </xf>
    <xf numFmtId="165" fontId="42" fillId="0" borderId="47" xfId="1" applyNumberFormat="1" applyFont="1" applyBorder="1" applyAlignment="1">
      <alignment horizontal="center" vertical="center"/>
    </xf>
    <xf numFmtId="165" fontId="38" fillId="0" borderId="48" xfId="1" applyNumberFormat="1" applyFont="1" applyFill="1" applyBorder="1" applyAlignment="1">
      <alignment horizontal="center" vertical="center"/>
    </xf>
    <xf numFmtId="165" fontId="42" fillId="0" borderId="50" xfId="1" applyNumberFormat="1" applyFont="1" applyBorder="1" applyAlignment="1">
      <alignment horizontal="center" vertical="center"/>
    </xf>
    <xf numFmtId="165" fontId="42" fillId="0" borderId="3" xfId="1" applyNumberFormat="1" applyFont="1" applyBorder="1" applyAlignment="1">
      <alignment horizontal="center" vertical="center"/>
    </xf>
    <xf numFmtId="165" fontId="42" fillId="0" borderId="45" xfId="1" applyNumberFormat="1" applyFont="1" applyBorder="1" applyAlignment="1">
      <alignment horizontal="center" vertical="center"/>
    </xf>
    <xf numFmtId="1" fontId="38" fillId="0" borderId="15" xfId="0" applyNumberFormat="1" applyFont="1" applyBorder="1" applyAlignment="1">
      <alignment horizontal="center"/>
    </xf>
    <xf numFmtId="1" fontId="38" fillId="0" borderId="17" xfId="0" applyNumberFormat="1" applyFont="1" applyBorder="1" applyAlignment="1">
      <alignment horizontal="center"/>
    </xf>
    <xf numFmtId="1" fontId="38" fillId="0" borderId="0" xfId="0" applyNumberFormat="1" applyFont="1" applyBorder="1" applyAlignment="1">
      <alignment horizontal="center"/>
    </xf>
    <xf numFmtId="1" fontId="38" fillId="0" borderId="22" xfId="0" applyNumberFormat="1" applyFont="1" applyBorder="1" applyAlignment="1">
      <alignment horizontal="center"/>
    </xf>
    <xf numFmtId="1" fontId="38" fillId="0" borderId="49" xfId="0" applyNumberFormat="1" applyFont="1" applyBorder="1" applyAlignment="1">
      <alignment horizontal="center"/>
    </xf>
    <xf numFmtId="1" fontId="38" fillId="0" borderId="50" xfId="0" applyNumberFormat="1" applyFont="1" applyBorder="1" applyAlignment="1">
      <alignment horizontal="center"/>
    </xf>
    <xf numFmtId="1" fontId="38" fillId="0" borderId="46" xfId="0" applyNumberFormat="1" applyFont="1" applyBorder="1" applyAlignment="1">
      <alignment horizontal="center"/>
    </xf>
    <xf numFmtId="1" fontId="38" fillId="0" borderId="47" xfId="0" applyNumberFormat="1" applyFont="1" applyBorder="1" applyAlignment="1">
      <alignment horizontal="center"/>
    </xf>
    <xf numFmtId="2" fontId="41" fillId="3" borderId="0" xfId="0" applyNumberFormat="1" applyFont="1" applyFill="1" applyBorder="1" applyAlignment="1">
      <alignment vertical="center"/>
    </xf>
    <xf numFmtId="167" fontId="42" fillId="0" borderId="9" xfId="2" applyNumberFormat="1" applyFont="1" applyBorder="1" applyAlignment="1">
      <alignment horizontal="center" vertical="center"/>
    </xf>
    <xf numFmtId="167" fontId="42" fillId="0" borderId="10" xfId="2" applyNumberFormat="1" applyFont="1" applyBorder="1" applyAlignment="1">
      <alignment horizontal="center" vertical="center"/>
    </xf>
    <xf numFmtId="1" fontId="36" fillId="25" borderId="9" xfId="2" applyNumberFormat="1" applyFont="1" applyFill="1" applyBorder="1" applyAlignment="1">
      <alignment horizontal="center" vertical="center" wrapText="1"/>
    </xf>
    <xf numFmtId="0" fontId="36" fillId="25" borderId="10" xfId="2" applyFont="1" applyFill="1" applyBorder="1" applyAlignment="1">
      <alignment horizontal="center" vertical="center" wrapText="1"/>
    </xf>
    <xf numFmtId="167" fontId="42" fillId="0" borderId="16" xfId="2" applyNumberFormat="1" applyFont="1" applyBorder="1" applyAlignment="1">
      <alignment horizontal="center" vertical="center"/>
    </xf>
    <xf numFmtId="167" fontId="42" fillId="0" borderId="15" xfId="2" applyNumberFormat="1" applyFont="1" applyBorder="1" applyAlignment="1">
      <alignment horizontal="center" vertical="center"/>
    </xf>
    <xf numFmtId="167" fontId="42" fillId="0" borderId="3" xfId="2" applyNumberFormat="1" applyFont="1" applyBorder="1" applyAlignment="1">
      <alignment horizontal="center" vertical="center"/>
    </xf>
    <xf numFmtId="167" fontId="42" fillId="0" borderId="0" xfId="2" applyNumberFormat="1" applyFont="1" applyBorder="1" applyAlignment="1">
      <alignment horizontal="center" vertical="center"/>
    </xf>
    <xf numFmtId="167" fontId="42" fillId="0" borderId="48" xfId="2" applyNumberFormat="1" applyFont="1" applyBorder="1" applyAlignment="1">
      <alignment horizontal="center" vertical="center"/>
    </xf>
    <xf numFmtId="167" fontId="42" fillId="0" borderId="49" xfId="2" applyNumberFormat="1" applyFont="1" applyBorder="1" applyAlignment="1">
      <alignment horizontal="center" vertical="center"/>
    </xf>
    <xf numFmtId="167" fontId="42" fillId="0" borderId="45" xfId="2" applyNumberFormat="1" applyFont="1" applyBorder="1" applyAlignment="1">
      <alignment horizontal="center" vertical="center"/>
    </xf>
    <xf numFmtId="167" fontId="42" fillId="0" borderId="46" xfId="2" applyNumberFormat="1" applyFont="1" applyBorder="1" applyAlignment="1">
      <alignment horizontal="center" vertical="center"/>
    </xf>
    <xf numFmtId="167" fontId="42" fillId="0" borderId="13" xfId="2" applyNumberFormat="1" applyFont="1" applyBorder="1" applyAlignment="1">
      <alignment horizontal="center" vertical="center"/>
    </xf>
    <xf numFmtId="167" fontId="42" fillId="0" borderId="5" xfId="2" applyNumberFormat="1" applyFont="1" applyBorder="1" applyAlignment="1">
      <alignment horizontal="center" vertical="center"/>
    </xf>
    <xf numFmtId="167" fontId="42" fillId="37" borderId="9" xfId="2" applyNumberFormat="1" applyFont="1" applyFill="1" applyBorder="1" applyAlignment="1">
      <alignment horizontal="center" vertical="center"/>
    </xf>
    <xf numFmtId="167" fontId="42" fillId="37" borderId="6" xfId="2" applyNumberFormat="1" applyFont="1" applyFill="1" applyBorder="1" applyAlignment="1">
      <alignment horizontal="center" vertical="center"/>
    </xf>
    <xf numFmtId="167" fontId="42" fillId="37" borderId="10" xfId="2" applyNumberFormat="1" applyFont="1" applyFill="1" applyBorder="1" applyAlignment="1">
      <alignment horizontal="center" vertical="center"/>
    </xf>
    <xf numFmtId="167" fontId="38" fillId="0" borderId="48" xfId="2" applyNumberFormat="1" applyFont="1" applyBorder="1" applyAlignment="1">
      <alignment horizontal="center" vertical="center"/>
    </xf>
    <xf numFmtId="167" fontId="38" fillId="0" borderId="49" xfId="2" applyNumberFormat="1" applyFont="1" applyBorder="1" applyAlignment="1">
      <alignment horizontal="center" vertical="center"/>
    </xf>
    <xf numFmtId="167" fontId="38" fillId="0" borderId="50" xfId="2" applyNumberFormat="1" applyFont="1" applyBorder="1" applyAlignment="1">
      <alignment horizontal="center" vertical="center"/>
    </xf>
    <xf numFmtId="1" fontId="62" fillId="25" borderId="9" xfId="0" applyNumberFormat="1" applyFont="1" applyFill="1" applyBorder="1" applyAlignment="1">
      <alignment horizontal="center" vertical="center" wrapText="1"/>
    </xf>
    <xf numFmtId="1" fontId="62" fillId="25" borderId="6" xfId="0" applyNumberFormat="1" applyFont="1" applyFill="1" applyBorder="1" applyAlignment="1">
      <alignment horizontal="center" vertical="center" wrapText="1"/>
    </xf>
    <xf numFmtId="1" fontId="62" fillId="25" borderId="10" xfId="0" applyNumberFormat="1" applyFont="1" applyFill="1" applyBorder="1" applyAlignment="1">
      <alignment horizontal="center" vertical="center" wrapText="1"/>
    </xf>
    <xf numFmtId="0" fontId="62" fillId="25" borderId="9" xfId="2" applyFont="1" applyFill="1" applyBorder="1" applyAlignment="1">
      <alignment horizontal="center" vertical="center" wrapText="1"/>
    </xf>
    <xf numFmtId="0" fontId="62" fillId="25" borderId="10" xfId="2" applyFont="1" applyFill="1" applyBorder="1" applyAlignment="1">
      <alignment horizontal="center" vertical="center" wrapText="1"/>
    </xf>
    <xf numFmtId="0" fontId="62" fillId="25" borderId="6" xfId="2" applyFont="1" applyFill="1" applyBorder="1" applyAlignment="1">
      <alignment horizontal="center" vertical="center" wrapText="1"/>
    </xf>
    <xf numFmtId="170" fontId="2" fillId="0" borderId="11" xfId="0" applyNumberFormat="1" applyFont="1" applyBorder="1" applyAlignment="1">
      <alignment vertical="center"/>
    </xf>
    <xf numFmtId="0" fontId="72" fillId="0" borderId="0" xfId="2" applyFont="1" applyFill="1" applyBorder="1" applyAlignment="1">
      <alignment horizontal="center" vertical="center" wrapText="1"/>
    </xf>
    <xf numFmtId="167" fontId="42" fillId="37" borderId="14" xfId="2" applyNumberFormat="1" applyFont="1" applyFill="1" applyBorder="1" applyAlignment="1">
      <alignment horizontal="center" vertical="center"/>
    </xf>
    <xf numFmtId="168" fontId="42" fillId="37" borderId="9" xfId="2" applyNumberFormat="1" applyFont="1" applyFill="1" applyBorder="1" applyAlignment="1">
      <alignment horizontal="center" vertical="center"/>
    </xf>
    <xf numFmtId="168" fontId="42" fillId="37" borderId="6" xfId="2" applyNumberFormat="1" applyFont="1" applyFill="1" applyBorder="1" applyAlignment="1">
      <alignment horizontal="center" vertical="center"/>
    </xf>
    <xf numFmtId="168" fontId="42" fillId="37" borderId="10" xfId="2" applyNumberFormat="1" applyFont="1" applyFill="1" applyBorder="1" applyAlignment="1">
      <alignment horizontal="center" vertical="center"/>
    </xf>
    <xf numFmtId="169" fontId="42" fillId="0" borderId="6" xfId="2" applyNumberFormat="1" applyFont="1" applyBorder="1" applyAlignment="1">
      <alignment horizontal="center" vertical="center"/>
    </xf>
    <xf numFmtId="169" fontId="42" fillId="0" borderId="9" xfId="2" applyNumberFormat="1" applyFont="1" applyBorder="1" applyAlignment="1">
      <alignment horizontal="center" vertical="center"/>
    </xf>
    <xf numFmtId="169" fontId="42" fillId="0" borderId="10" xfId="2" applyNumberFormat="1" applyFont="1" applyBorder="1" applyAlignment="1">
      <alignment horizontal="center" vertical="center"/>
    </xf>
    <xf numFmtId="1" fontId="2" fillId="0" borderId="0" xfId="2" applyNumberFormat="1" applyFont="1" applyAlignment="1">
      <alignment horizontal="center" vertical="center"/>
    </xf>
    <xf numFmtId="1" fontId="2" fillId="0" borderId="16" xfId="2" applyNumberFormat="1" applyFont="1" applyBorder="1" applyAlignment="1">
      <alignment horizontal="center" vertical="center"/>
    </xf>
    <xf numFmtId="1" fontId="2" fillId="0" borderId="15" xfId="2" applyNumberFormat="1" applyFont="1" applyBorder="1" applyAlignment="1">
      <alignment horizontal="center" vertical="center"/>
    </xf>
    <xf numFmtId="1" fontId="2" fillId="0" borderId="3" xfId="2" applyNumberFormat="1" applyFont="1" applyBorder="1" applyAlignment="1">
      <alignment horizontal="center" vertical="center"/>
    </xf>
    <xf numFmtId="1" fontId="2" fillId="0" borderId="0" xfId="2" applyNumberFormat="1" applyFont="1" applyBorder="1" applyAlignment="1">
      <alignment horizontal="center" vertical="center"/>
    </xf>
    <xf numFmtId="1" fontId="2" fillId="0" borderId="48" xfId="2" applyNumberFormat="1" applyFont="1" applyBorder="1" applyAlignment="1">
      <alignment horizontal="center" vertical="center"/>
    </xf>
    <xf numFmtId="1" fontId="2" fillId="0" borderId="49" xfId="2" applyNumberFormat="1" applyFont="1" applyBorder="1" applyAlignment="1">
      <alignment horizontal="center" vertical="center"/>
    </xf>
    <xf numFmtId="1" fontId="2" fillId="0" borderId="45" xfId="2" applyNumberFormat="1" applyFont="1" applyBorder="1" applyAlignment="1">
      <alignment horizontal="center" vertical="center"/>
    </xf>
    <xf numFmtId="1" fontId="2" fillId="0" borderId="46" xfId="2" applyNumberFormat="1" applyFont="1" applyBorder="1" applyAlignment="1">
      <alignment horizontal="center" vertical="center"/>
    </xf>
    <xf numFmtId="0" fontId="62" fillId="38" borderId="9" xfId="2" applyFont="1" applyFill="1" applyBorder="1" applyAlignment="1">
      <alignment vertical="center" wrapText="1"/>
    </xf>
    <xf numFmtId="0" fontId="62" fillId="38" borderId="6" xfId="2" applyFont="1" applyFill="1" applyBorder="1" applyAlignment="1">
      <alignment vertical="center" wrapText="1"/>
    </xf>
    <xf numFmtId="167" fontId="38" fillId="0" borderId="13" xfId="2" applyNumberFormat="1" applyFont="1" applyFill="1" applyBorder="1" applyAlignment="1">
      <alignment horizontal="center" vertical="center"/>
    </xf>
    <xf numFmtId="167" fontId="2" fillId="0" borderId="15" xfId="2" applyNumberFormat="1" applyFont="1" applyBorder="1" applyAlignment="1">
      <alignment horizontal="center" vertical="center"/>
    </xf>
    <xf numFmtId="167" fontId="2" fillId="0" borderId="17" xfId="2" applyNumberFormat="1" applyFont="1" applyBorder="1" applyAlignment="1">
      <alignment horizontal="center" vertical="center"/>
    </xf>
    <xf numFmtId="167" fontId="2" fillId="0" borderId="0" xfId="2" applyNumberFormat="1" applyFont="1" applyBorder="1" applyAlignment="1">
      <alignment horizontal="center" vertical="center"/>
    </xf>
    <xf numFmtId="167" fontId="2" fillId="0" borderId="22" xfId="2" applyNumberFormat="1" applyFont="1" applyBorder="1" applyAlignment="1">
      <alignment horizontal="center" vertical="center"/>
    </xf>
    <xf numFmtId="167" fontId="2" fillId="0" borderId="49" xfId="2" applyNumberFormat="1" applyFont="1" applyBorder="1" applyAlignment="1">
      <alignment horizontal="center" vertical="center"/>
    </xf>
    <xf numFmtId="167" fontId="2" fillId="0" borderId="50" xfId="2" applyNumberFormat="1" applyFont="1" applyBorder="1" applyAlignment="1">
      <alignment horizontal="center" vertical="center"/>
    </xf>
    <xf numFmtId="167" fontId="2" fillId="0" borderId="46" xfId="2" applyNumberFormat="1" applyFont="1" applyBorder="1" applyAlignment="1">
      <alignment horizontal="center" vertical="center"/>
    </xf>
    <xf numFmtId="167" fontId="2" fillId="0" borderId="47" xfId="2" applyNumberFormat="1" applyFont="1" applyBorder="1" applyAlignment="1">
      <alignment horizontal="center" vertical="center"/>
    </xf>
    <xf numFmtId="167" fontId="42" fillId="38" borderId="9" xfId="2" applyNumberFormat="1" applyFont="1" applyFill="1" applyBorder="1" applyAlignment="1">
      <alignment horizontal="center" vertical="center"/>
    </xf>
    <xf numFmtId="167" fontId="42" fillId="38" borderId="6" xfId="2" applyNumberFormat="1" applyFont="1" applyFill="1" applyBorder="1" applyAlignment="1">
      <alignment horizontal="center" vertical="center"/>
    </xf>
    <xf numFmtId="167" fontId="42" fillId="38" borderId="10" xfId="2" applyNumberFormat="1" applyFont="1" applyFill="1" applyBorder="1" applyAlignment="1">
      <alignment horizontal="center" vertical="center"/>
    </xf>
    <xf numFmtId="1" fontId="62" fillId="25" borderId="9" xfId="0" applyNumberFormat="1" applyFont="1" applyFill="1" applyBorder="1" applyAlignment="1">
      <alignment horizontal="center" vertical="center" wrapText="1"/>
    </xf>
    <xf numFmtId="1" fontId="62" fillId="25" borderId="6" xfId="0" applyNumberFormat="1" applyFont="1" applyFill="1" applyBorder="1" applyAlignment="1">
      <alignment horizontal="center" vertical="center" wrapText="1"/>
    </xf>
    <xf numFmtId="1" fontId="62" fillId="25" borderId="10" xfId="0" applyNumberFormat="1" applyFont="1" applyFill="1" applyBorder="1" applyAlignment="1">
      <alignment horizontal="center" vertical="center" wrapText="1"/>
    </xf>
    <xf numFmtId="1" fontId="62" fillId="16" borderId="9" xfId="0" applyNumberFormat="1" applyFont="1" applyFill="1" applyBorder="1" applyAlignment="1">
      <alignment horizontal="center" vertical="center" wrapText="1"/>
    </xf>
    <xf numFmtId="1" fontId="62" fillId="16" borderId="6" xfId="0" applyNumberFormat="1" applyFont="1" applyFill="1" applyBorder="1" applyAlignment="1">
      <alignment horizontal="center" vertical="center" wrapText="1"/>
    </xf>
    <xf numFmtId="1" fontId="62" fillId="16" borderId="10" xfId="0" applyNumberFormat="1" applyFont="1" applyFill="1" applyBorder="1" applyAlignment="1">
      <alignment horizontal="center" vertical="center" wrapText="1"/>
    </xf>
    <xf numFmtId="0" fontId="62" fillId="25" borderId="6" xfId="2" applyFont="1" applyFill="1" applyBorder="1" applyAlignment="1">
      <alignment horizontal="center" vertical="center" wrapText="1"/>
    </xf>
    <xf numFmtId="0" fontId="62" fillId="25" borderId="10" xfId="2" applyFont="1" applyFill="1" applyBorder="1" applyAlignment="1">
      <alignment horizontal="center" vertical="center" wrapText="1"/>
    </xf>
    <xf numFmtId="0" fontId="62" fillId="25" borderId="9" xfId="2" applyFont="1" applyFill="1" applyBorder="1" applyAlignment="1">
      <alignment horizontal="center" vertical="center" wrapText="1"/>
    </xf>
    <xf numFmtId="165" fontId="42" fillId="0" borderId="9" xfId="1" applyNumberFormat="1" applyFont="1" applyFill="1" applyBorder="1" applyAlignment="1">
      <alignment horizontal="center" vertical="center"/>
    </xf>
    <xf numFmtId="0" fontId="62" fillId="3" borderId="0" xfId="0" applyFont="1" applyFill="1" applyBorder="1" applyAlignment="1">
      <alignment horizontal="center" vertical="center" wrapText="1"/>
    </xf>
    <xf numFmtId="0" fontId="73" fillId="3" borderId="0" xfId="2" applyFont="1" applyFill="1" applyBorder="1" applyAlignment="1">
      <alignment horizontal="center" vertical="center"/>
    </xf>
    <xf numFmtId="167" fontId="42" fillId="37" borderId="5" xfId="2" applyNumberFormat="1" applyFont="1" applyFill="1" applyBorder="1" applyAlignment="1">
      <alignment horizontal="center" vertical="center"/>
    </xf>
    <xf numFmtId="0" fontId="62" fillId="3" borderId="3" xfId="0" applyFont="1" applyFill="1" applyBorder="1" applyAlignment="1">
      <alignment horizontal="center" vertical="center" wrapText="1"/>
    </xf>
    <xf numFmtId="0" fontId="77" fillId="3" borderId="0" xfId="2" applyFont="1" applyFill="1" applyBorder="1" applyAlignment="1">
      <alignment horizontal="center" vertical="center" wrapText="1"/>
    </xf>
    <xf numFmtId="0" fontId="62" fillId="39" borderId="0" xfId="2" applyFont="1" applyFill="1" applyAlignment="1">
      <alignment horizontal="center" vertical="center" wrapText="1"/>
    </xf>
    <xf numFmtId="0" fontId="62" fillId="39" borderId="6" xfId="2" applyFont="1" applyFill="1" applyBorder="1" applyAlignment="1">
      <alignment horizontal="center" vertical="center" wrapText="1"/>
    </xf>
    <xf numFmtId="169" fontId="42" fillId="0" borderId="15" xfId="2" applyNumberFormat="1" applyFont="1" applyBorder="1" applyAlignment="1">
      <alignment horizontal="center" vertical="center"/>
    </xf>
    <xf numFmtId="169" fontId="42" fillId="0" borderId="17" xfId="2" applyNumberFormat="1" applyFont="1" applyBorder="1" applyAlignment="1">
      <alignment horizontal="center" vertical="center"/>
    </xf>
    <xf numFmtId="0" fontId="0" fillId="0" borderId="0" xfId="0" applyBorder="1" applyAlignment="1">
      <alignment horizontal="center" vertical="center"/>
    </xf>
    <xf numFmtId="1" fontId="62" fillId="25" borderId="5" xfId="0" applyNumberFormat="1" applyFont="1" applyFill="1" applyBorder="1" applyAlignment="1">
      <alignment horizontal="center" vertical="center" wrapText="1"/>
    </xf>
    <xf numFmtId="169" fontId="42" fillId="0" borderId="22" xfId="2" applyNumberFormat="1" applyFont="1" applyBorder="1" applyAlignment="1">
      <alignment horizontal="center" vertical="center"/>
    </xf>
    <xf numFmtId="169" fontId="42" fillId="0" borderId="47" xfId="2" applyNumberFormat="1" applyFont="1" applyBorder="1" applyAlignment="1">
      <alignment horizontal="center" vertical="center"/>
    </xf>
    <xf numFmtId="169" fontId="38" fillId="0" borderId="47" xfId="2" applyNumberFormat="1" applyFont="1" applyFill="1" applyBorder="1" applyAlignment="1">
      <alignment horizontal="center" vertical="center"/>
    </xf>
    <xf numFmtId="169" fontId="38" fillId="0" borderId="22" xfId="2" applyNumberFormat="1" applyFont="1" applyFill="1" applyBorder="1" applyAlignment="1">
      <alignment horizontal="center" vertical="center"/>
    </xf>
    <xf numFmtId="169" fontId="38" fillId="0" borderId="22" xfId="2" applyNumberFormat="1" applyFont="1" applyBorder="1" applyAlignment="1">
      <alignment horizontal="center" vertical="center"/>
    </xf>
    <xf numFmtId="169" fontId="38" fillId="0" borderId="14" xfId="2" applyNumberFormat="1" applyFont="1" applyBorder="1" applyAlignment="1">
      <alignment horizontal="center" vertical="center"/>
    </xf>
    <xf numFmtId="169" fontId="38" fillId="0" borderId="17" xfId="2" applyNumberFormat="1" applyFont="1" applyFill="1" applyBorder="1" applyAlignment="1">
      <alignment horizontal="center" vertical="center"/>
    </xf>
    <xf numFmtId="2" fontId="42" fillId="0" borderId="17" xfId="2" applyNumberFormat="1" applyFont="1" applyBorder="1" applyAlignment="1">
      <alignment horizontal="center" vertical="center"/>
    </xf>
    <xf numFmtId="2" fontId="42" fillId="0" borderId="22" xfId="2" applyNumberFormat="1" applyFont="1" applyBorder="1" applyAlignment="1">
      <alignment horizontal="center" vertical="center"/>
    </xf>
    <xf numFmtId="2" fontId="42" fillId="0" borderId="10" xfId="2" applyNumberFormat="1" applyFont="1" applyBorder="1" applyAlignment="1">
      <alignment horizontal="center" vertical="center"/>
    </xf>
    <xf numFmtId="2" fontId="42" fillId="0" borderId="47" xfId="2" applyNumberFormat="1" applyFont="1" applyBorder="1" applyAlignment="1">
      <alignment horizontal="center" vertical="center"/>
    </xf>
    <xf numFmtId="169" fontId="42" fillId="0" borderId="0" xfId="2" applyNumberFormat="1" applyFont="1" applyBorder="1" applyAlignment="1">
      <alignment horizontal="center" vertical="center"/>
    </xf>
    <xf numFmtId="169" fontId="42" fillId="0" borderId="46" xfId="2" applyNumberFormat="1" applyFont="1" applyBorder="1" applyAlignment="1">
      <alignment horizontal="center" vertical="center"/>
    </xf>
    <xf numFmtId="169" fontId="38" fillId="0" borderId="15" xfId="2" applyNumberFormat="1" applyFont="1" applyFill="1" applyBorder="1" applyAlignment="1">
      <alignment horizontal="center" vertical="center"/>
    </xf>
    <xf numFmtId="169" fontId="38" fillId="0" borderId="0" xfId="2" applyNumberFormat="1" applyFont="1" applyFill="1" applyBorder="1" applyAlignment="1">
      <alignment horizontal="center" vertical="center"/>
    </xf>
    <xf numFmtId="169" fontId="38" fillId="0" borderId="0" xfId="2" applyNumberFormat="1" applyFont="1" applyBorder="1" applyAlignment="1">
      <alignment horizontal="center" vertical="center"/>
    </xf>
    <xf numFmtId="169" fontId="38" fillId="0" borderId="5" xfId="2" applyNumberFormat="1" applyFont="1" applyBorder="1" applyAlignment="1">
      <alignment horizontal="center" vertical="center"/>
    </xf>
    <xf numFmtId="169" fontId="42" fillId="0" borderId="49" xfId="2" applyNumberFormat="1" applyFont="1" applyBorder="1" applyAlignment="1">
      <alignment horizontal="center" vertical="center"/>
    </xf>
    <xf numFmtId="169" fontId="42" fillId="0" borderId="50" xfId="2" applyNumberFormat="1" applyFont="1" applyBorder="1" applyAlignment="1">
      <alignment horizontal="center" vertical="center"/>
    </xf>
    <xf numFmtId="169" fontId="38" fillId="0" borderId="10" xfId="2" applyNumberFormat="1" applyFont="1" applyFill="1" applyBorder="1" applyAlignment="1">
      <alignment horizontal="center" vertical="center"/>
    </xf>
    <xf numFmtId="169" fontId="38" fillId="0" borderId="14" xfId="2" applyNumberFormat="1" applyFont="1" applyFill="1" applyBorder="1" applyAlignment="1">
      <alignment horizontal="center" vertical="center"/>
    </xf>
    <xf numFmtId="169" fontId="38" fillId="0" borderId="46" xfId="2" applyNumberFormat="1" applyFont="1" applyFill="1" applyBorder="1" applyAlignment="1">
      <alignment horizontal="center" vertical="center"/>
    </xf>
    <xf numFmtId="169" fontId="38" fillId="0" borderId="49" xfId="2" applyNumberFormat="1" applyFont="1" applyFill="1" applyBorder="1" applyAlignment="1">
      <alignment horizontal="center" vertical="center"/>
    </xf>
    <xf numFmtId="169" fontId="38" fillId="0" borderId="50" xfId="2" applyNumberFormat="1" applyFont="1" applyFill="1" applyBorder="1" applyAlignment="1">
      <alignment horizontal="center" vertical="center"/>
    </xf>
    <xf numFmtId="2" fontId="42" fillId="0" borderId="6" xfId="1" applyNumberFormat="1" applyFont="1" applyFill="1" applyBorder="1" applyAlignment="1">
      <alignment horizontal="center" vertical="center"/>
    </xf>
    <xf numFmtId="165" fontId="42" fillId="0" borderId="6" xfId="1" applyNumberFormat="1" applyFont="1" applyFill="1" applyBorder="1" applyAlignment="1">
      <alignment horizontal="center" vertical="center"/>
    </xf>
    <xf numFmtId="0" fontId="62" fillId="25" borderId="9" xfId="2" applyFont="1" applyFill="1" applyBorder="1" applyAlignment="1">
      <alignment horizontal="center" vertical="center" wrapText="1"/>
    </xf>
    <xf numFmtId="2" fontId="42" fillId="0" borderId="10" xfId="1" applyNumberFormat="1" applyFont="1" applyFill="1" applyBorder="1" applyAlignment="1">
      <alignment horizontal="center" vertical="center"/>
    </xf>
    <xf numFmtId="165" fontId="42" fillId="0" borderId="10" xfId="1" applyNumberFormat="1" applyFont="1" applyFill="1" applyBorder="1" applyAlignment="1">
      <alignment horizontal="center" vertical="center"/>
    </xf>
    <xf numFmtId="0" fontId="2" fillId="0" borderId="0" xfId="2" applyFont="1" applyAlignment="1">
      <alignment horizontal="center" vertical="center"/>
    </xf>
    <xf numFmtId="0" fontId="62" fillId="3" borderId="3" xfId="2" applyFont="1" applyFill="1" applyBorder="1" applyAlignment="1">
      <alignment horizontal="center" vertical="center"/>
    </xf>
    <xf numFmtId="167" fontId="42" fillId="0" borderId="15" xfId="2" applyNumberFormat="1" applyFont="1" applyBorder="1" applyAlignment="1">
      <alignment horizontal="right" vertical="center"/>
    </xf>
    <xf numFmtId="0" fontId="62" fillId="0" borderId="15" xfId="2" applyFont="1" applyBorder="1" applyAlignment="1">
      <alignment vertical="center"/>
    </xf>
    <xf numFmtId="0" fontId="2" fillId="0" borderId="11" xfId="2" applyFont="1" applyBorder="1" applyAlignment="1">
      <alignment vertical="center"/>
    </xf>
    <xf numFmtId="0" fontId="41" fillId="0" borderId="14" xfId="0" applyFont="1" applyFill="1" applyBorder="1" applyAlignment="1">
      <alignment horizontal="center" vertical="center"/>
    </xf>
    <xf numFmtId="0" fontId="41" fillId="0" borderId="3" xfId="0" applyFont="1" applyFill="1" applyBorder="1" applyAlignment="1">
      <alignment horizontal="center" vertical="center"/>
    </xf>
    <xf numFmtId="0" fontId="2" fillId="0" borderId="0" xfId="2" applyFont="1" applyBorder="1" applyAlignment="1">
      <alignment vertical="center"/>
    </xf>
    <xf numFmtId="0" fontId="36" fillId="0" borderId="0" xfId="2" applyFont="1" applyFill="1" applyBorder="1" applyAlignment="1">
      <alignment horizontal="center" vertical="center"/>
    </xf>
    <xf numFmtId="1" fontId="36" fillId="3" borderId="0" xfId="2" applyNumberFormat="1" applyFont="1" applyFill="1" applyBorder="1" applyAlignment="1">
      <alignment vertical="center"/>
    </xf>
    <xf numFmtId="167" fontId="42" fillId="37" borderId="13" xfId="2" applyNumberFormat="1" applyFont="1" applyFill="1" applyBorder="1" applyAlignment="1">
      <alignment horizontal="center" vertical="center"/>
    </xf>
    <xf numFmtId="0" fontId="67" fillId="22" borderId="13" xfId="2" applyFont="1" applyFill="1" applyBorder="1" applyAlignment="1">
      <alignment horizontal="center" vertical="center" wrapText="1"/>
    </xf>
    <xf numFmtId="0" fontId="67" fillId="22" borderId="5" xfId="2" applyFont="1" applyFill="1" applyBorder="1" applyAlignment="1">
      <alignment horizontal="center" vertical="center" wrapText="1"/>
    </xf>
    <xf numFmtId="0" fontId="67" fillId="22" borderId="14" xfId="2" applyFont="1" applyFill="1" applyBorder="1" applyAlignment="1">
      <alignment horizontal="center" vertical="center" wrapText="1"/>
    </xf>
    <xf numFmtId="0" fontId="41" fillId="9" borderId="1" xfId="0" applyFont="1" applyFill="1" applyBorder="1" applyAlignment="1">
      <alignment horizontal="center" vertical="center" wrapText="1"/>
    </xf>
    <xf numFmtId="1" fontId="41" fillId="9" borderId="1" xfId="0" applyNumberFormat="1" applyFont="1" applyFill="1" applyBorder="1" applyAlignment="1">
      <alignment horizontal="center" vertical="center"/>
    </xf>
    <xf numFmtId="0" fontId="76" fillId="3" borderId="0" xfId="0" applyFont="1" applyFill="1"/>
    <xf numFmtId="0" fontId="61" fillId="3" borderId="29" xfId="0" applyFont="1" applyFill="1" applyBorder="1" applyAlignment="1">
      <alignment vertical="center"/>
    </xf>
    <xf numFmtId="0" fontId="2" fillId="3" borderId="0" xfId="0" applyFont="1" applyFill="1" applyAlignment="1">
      <alignment vertical="center"/>
    </xf>
    <xf numFmtId="0" fontId="36" fillId="3" borderId="0" xfId="0" applyFont="1" applyFill="1" applyBorder="1" applyAlignment="1">
      <alignment vertical="center"/>
    </xf>
    <xf numFmtId="167" fontId="42" fillId="37" borderId="1" xfId="2" applyNumberFormat="1" applyFont="1" applyFill="1" applyBorder="1" applyAlignment="1">
      <alignment horizontal="center" vertical="center"/>
    </xf>
    <xf numFmtId="167" fontId="38" fillId="36" borderId="2" xfId="2" applyNumberFormat="1" applyFont="1" applyFill="1" applyBorder="1" applyAlignment="1">
      <alignment horizontal="center" vertical="center"/>
    </xf>
    <xf numFmtId="167" fontId="38" fillId="36" borderId="15" xfId="2" applyNumberFormat="1" applyFont="1" applyFill="1" applyBorder="1" applyAlignment="1">
      <alignment horizontal="center" vertical="center"/>
    </xf>
    <xf numFmtId="167" fontId="38" fillId="36" borderId="17" xfId="2" applyNumberFormat="1" applyFont="1" applyFill="1" applyBorder="1" applyAlignment="1">
      <alignment horizontal="center" vertical="center"/>
    </xf>
    <xf numFmtId="167" fontId="38" fillId="36" borderId="11" xfId="2" applyNumberFormat="1" applyFont="1" applyFill="1" applyBorder="1" applyAlignment="1">
      <alignment horizontal="center" vertical="center"/>
    </xf>
    <xf numFmtId="167" fontId="38" fillId="36" borderId="0" xfId="2" applyNumberFormat="1" applyFont="1" applyFill="1" applyBorder="1" applyAlignment="1">
      <alignment horizontal="center" vertical="center"/>
    </xf>
    <xf numFmtId="167" fontId="38" fillId="36" borderId="22" xfId="2" applyNumberFormat="1" applyFont="1" applyFill="1" applyBorder="1" applyAlignment="1">
      <alignment horizontal="center" vertical="center"/>
    </xf>
    <xf numFmtId="167" fontId="38" fillId="36" borderId="4" xfId="2" applyNumberFormat="1" applyFont="1" applyFill="1" applyBorder="1" applyAlignment="1">
      <alignment horizontal="center" vertical="center"/>
    </xf>
    <xf numFmtId="167" fontId="38" fillId="36" borderId="5" xfId="2" applyNumberFormat="1" applyFont="1" applyFill="1" applyBorder="1" applyAlignment="1">
      <alignment horizontal="center" vertical="center"/>
    </xf>
    <xf numFmtId="167" fontId="38" fillId="36" borderId="14" xfId="2" applyNumberFormat="1" applyFont="1" applyFill="1" applyBorder="1" applyAlignment="1">
      <alignment horizontal="center" vertical="center"/>
    </xf>
    <xf numFmtId="167" fontId="42" fillId="36" borderId="49" xfId="2" applyNumberFormat="1" applyFont="1" applyFill="1" applyBorder="1" applyAlignment="1">
      <alignment horizontal="center" vertical="center"/>
    </xf>
    <xf numFmtId="0" fontId="38" fillId="37" borderId="9" xfId="0" applyFont="1" applyFill="1" applyBorder="1" applyAlignment="1">
      <alignment vertical="center"/>
    </xf>
    <xf numFmtId="167" fontId="38" fillId="37" borderId="1" xfId="0" applyNumberFormat="1" applyFont="1" applyFill="1" applyBorder="1" applyAlignment="1">
      <alignment horizontal="right" vertical="center"/>
    </xf>
    <xf numFmtId="0" fontId="40" fillId="0" borderId="0" xfId="2" applyFont="1" applyAlignment="1">
      <alignment vertical="center"/>
    </xf>
    <xf numFmtId="0" fontId="41" fillId="3" borderId="3" xfId="0" applyFont="1" applyFill="1" applyBorder="1" applyAlignment="1">
      <alignment horizontal="left" vertical="center" wrapText="1"/>
    </xf>
    <xf numFmtId="0" fontId="41" fillId="3" borderId="0" xfId="0" applyFont="1" applyFill="1" applyBorder="1" applyAlignment="1">
      <alignment horizontal="left" vertical="center" wrapText="1"/>
    </xf>
    <xf numFmtId="166" fontId="42" fillId="3" borderId="3" xfId="3" applyNumberFormat="1" applyFont="1" applyFill="1" applyBorder="1" applyAlignment="1">
      <alignment horizontal="left" vertical="center" indent="2"/>
    </xf>
    <xf numFmtId="166" fontId="42" fillId="3" borderId="0" xfId="3" applyNumberFormat="1" applyFont="1" applyFill="1" applyBorder="1" applyAlignment="1">
      <alignment horizontal="left" vertical="center" indent="2"/>
    </xf>
    <xf numFmtId="166" fontId="42" fillId="37" borderId="1" xfId="3" applyNumberFormat="1" applyFont="1" applyFill="1" applyBorder="1" applyAlignment="1">
      <alignment horizontal="left" vertical="center" indent="2"/>
    </xf>
    <xf numFmtId="0" fontId="11" fillId="3" borderId="0" xfId="0" applyFont="1" applyFill="1" applyBorder="1"/>
    <xf numFmtId="165" fontId="13" fillId="3" borderId="0" xfId="1" applyNumberFormat="1" applyFont="1" applyFill="1" applyBorder="1" applyAlignment="1">
      <alignment horizontal="right"/>
    </xf>
    <xf numFmtId="167" fontId="42" fillId="37" borderId="1" xfId="0" applyNumberFormat="1" applyFont="1" applyFill="1" applyBorder="1" applyAlignment="1">
      <alignment horizontal="right" vertical="center"/>
    </xf>
    <xf numFmtId="0" fontId="58" fillId="3" borderId="0" xfId="0" applyFont="1" applyFill="1" applyBorder="1" applyAlignment="1">
      <alignment horizontal="left" indent="3"/>
    </xf>
    <xf numFmtId="0" fontId="28" fillId="3" borderId="0" xfId="0" applyFont="1" applyFill="1" applyBorder="1" applyAlignment="1"/>
    <xf numFmtId="165" fontId="38" fillId="37" borderId="1" xfId="1" applyNumberFormat="1" applyFont="1" applyFill="1" applyBorder="1" applyAlignment="1">
      <alignment horizontal="right" vertical="center" indent="1"/>
    </xf>
    <xf numFmtId="0" fontId="111" fillId="10" borderId="0" xfId="0" applyFont="1" applyFill="1" applyAlignment="1">
      <alignment horizontal="center"/>
    </xf>
    <xf numFmtId="0" fontId="70" fillId="0" borderId="0" xfId="2" applyFont="1" applyFill="1" applyAlignment="1">
      <alignment vertical="center"/>
    </xf>
    <xf numFmtId="9" fontId="42" fillId="0" borderId="9" xfId="1" applyFont="1" applyFill="1" applyBorder="1" applyAlignment="1">
      <alignment horizontal="center" vertical="center"/>
    </xf>
    <xf numFmtId="9" fontId="42" fillId="0" borderId="6" xfId="1" applyFont="1" applyFill="1" applyBorder="1" applyAlignment="1">
      <alignment horizontal="center" vertical="center"/>
    </xf>
    <xf numFmtId="9" fontId="42" fillId="0" borderId="10" xfId="1" applyFont="1" applyFill="1" applyBorder="1" applyAlignment="1">
      <alignment horizontal="center" vertical="center"/>
    </xf>
    <xf numFmtId="1" fontId="41" fillId="9" borderId="1" xfId="0" applyNumberFormat="1" applyFont="1" applyFill="1" applyBorder="1" applyAlignment="1">
      <alignment horizontal="center" vertical="center" wrapText="1"/>
    </xf>
    <xf numFmtId="1" fontId="42" fillId="8" borderId="1" xfId="0" applyNumberFormat="1" applyFont="1" applyFill="1" applyBorder="1" applyAlignment="1">
      <alignment horizontal="center" vertical="center" wrapText="1"/>
    </xf>
    <xf numFmtId="3" fontId="38" fillId="37" borderId="1" xfId="1" applyNumberFormat="1" applyFont="1" applyFill="1" applyBorder="1" applyAlignment="1">
      <alignment horizontal="right" vertical="center" indent="1"/>
    </xf>
    <xf numFmtId="166" fontId="38" fillId="37" borderId="1" xfId="1" applyNumberFormat="1" applyFont="1" applyFill="1" applyBorder="1" applyAlignment="1">
      <alignment horizontal="right" vertical="center" indent="1"/>
    </xf>
    <xf numFmtId="165" fontId="42" fillId="37" borderId="1" xfId="1" applyNumberFormat="1" applyFont="1" applyFill="1" applyBorder="1" applyAlignment="1">
      <alignment horizontal="right" indent="1"/>
    </xf>
    <xf numFmtId="0" fontId="62" fillId="25" borderId="10" xfId="2" applyFont="1" applyFill="1" applyBorder="1" applyAlignment="1">
      <alignment horizontal="center" vertical="center" wrapText="1"/>
    </xf>
    <xf numFmtId="1" fontId="62" fillId="25" borderId="9" xfId="0" applyNumberFormat="1" applyFont="1" applyFill="1" applyBorder="1" applyAlignment="1">
      <alignment horizontal="center" vertical="center" wrapText="1"/>
    </xf>
    <xf numFmtId="1" fontId="62" fillId="25" borderId="6" xfId="0" applyNumberFormat="1" applyFont="1" applyFill="1" applyBorder="1" applyAlignment="1">
      <alignment horizontal="center" vertical="center" wrapText="1"/>
    </xf>
    <xf numFmtId="0" fontId="42" fillId="8" borderId="1" xfId="0" applyFont="1" applyFill="1" applyBorder="1" applyAlignment="1">
      <alignment horizontal="center" vertical="center" wrapText="1"/>
    </xf>
    <xf numFmtId="0" fontId="41" fillId="9" borderId="1" xfId="0" applyFont="1" applyFill="1" applyBorder="1" applyAlignment="1">
      <alignment horizontal="center" vertical="center" wrapText="1"/>
    </xf>
    <xf numFmtId="1" fontId="67" fillId="3" borderId="0" xfId="0" applyNumberFormat="1" applyFont="1" applyFill="1" applyBorder="1" applyAlignment="1">
      <alignment horizontal="center" vertical="center" wrapText="1"/>
    </xf>
    <xf numFmtId="0" fontId="67" fillId="3" borderId="0" xfId="2" applyFont="1" applyFill="1" applyBorder="1" applyAlignment="1">
      <alignment horizontal="center" vertical="center" wrapText="1"/>
    </xf>
    <xf numFmtId="9" fontId="42" fillId="3" borderId="0" xfId="1" applyFont="1" applyFill="1" applyBorder="1" applyAlignment="1">
      <alignment horizontal="center" vertical="center"/>
    </xf>
    <xf numFmtId="9" fontId="62" fillId="3" borderId="1" xfId="1" applyFont="1" applyFill="1" applyBorder="1" applyAlignment="1">
      <alignment horizontal="center" vertical="center" wrapText="1"/>
    </xf>
    <xf numFmtId="9" fontId="36" fillId="3" borderId="1" xfId="1" applyFont="1" applyFill="1" applyBorder="1" applyAlignment="1">
      <alignment horizontal="center" vertical="center"/>
    </xf>
    <xf numFmtId="1" fontId="62" fillId="25" borderId="10" xfId="0" applyNumberFormat="1" applyFont="1" applyFill="1" applyBorder="1" applyAlignment="1">
      <alignment horizontal="center" vertical="center" wrapText="1"/>
    </xf>
    <xf numFmtId="171" fontId="38" fillId="37" borderId="1" xfId="1" applyNumberFormat="1" applyFont="1" applyFill="1" applyBorder="1" applyAlignment="1">
      <alignment horizontal="right" vertical="center" indent="1"/>
    </xf>
    <xf numFmtId="1" fontId="62" fillId="25" borderId="9" xfId="0" applyNumberFormat="1" applyFont="1" applyFill="1" applyBorder="1" applyAlignment="1">
      <alignment horizontal="center" vertical="center" wrapText="1"/>
    </xf>
    <xf numFmtId="1" fontId="62" fillId="25" borderId="6" xfId="0" applyNumberFormat="1" applyFont="1" applyFill="1" applyBorder="1" applyAlignment="1">
      <alignment horizontal="center" vertical="center" wrapText="1"/>
    </xf>
    <xf numFmtId="1" fontId="62" fillId="25" borderId="10" xfId="0" applyNumberFormat="1" applyFont="1" applyFill="1" applyBorder="1" applyAlignment="1">
      <alignment horizontal="center" vertical="center" wrapText="1"/>
    </xf>
    <xf numFmtId="0" fontId="42" fillId="8" borderId="1" xfId="0" applyFont="1" applyFill="1" applyBorder="1" applyAlignment="1">
      <alignment horizontal="center" vertical="center" wrapText="1"/>
    </xf>
    <xf numFmtId="0" fontId="41" fillId="9" borderId="2" xfId="0" applyFont="1" applyFill="1" applyBorder="1" applyAlignment="1">
      <alignment horizontal="center" vertical="center" wrapText="1"/>
    </xf>
    <xf numFmtId="0" fontId="42" fillId="8" borderId="1" xfId="0" applyFont="1" applyFill="1" applyBorder="1" applyAlignment="1">
      <alignment horizontal="center" vertical="center" wrapText="1"/>
    </xf>
    <xf numFmtId="0" fontId="41" fillId="9" borderId="1" xfId="0" applyFont="1" applyFill="1" applyBorder="1" applyAlignment="1">
      <alignment horizontal="center" vertical="center" wrapText="1"/>
    </xf>
    <xf numFmtId="0" fontId="22" fillId="3" borderId="0" xfId="0" applyFont="1" applyFill="1"/>
    <xf numFmtId="1" fontId="42" fillId="3" borderId="2" xfId="2" applyNumberFormat="1" applyFont="1" applyFill="1" applyBorder="1" applyAlignment="1">
      <alignment horizontal="left" vertical="center"/>
    </xf>
    <xf numFmtId="1" fontId="42" fillId="3" borderId="11" xfId="2" applyNumberFormat="1" applyFont="1" applyFill="1" applyBorder="1" applyAlignment="1">
      <alignment horizontal="left" vertical="center"/>
    </xf>
    <xf numFmtId="1" fontId="42" fillId="3" borderId="44" xfId="2" applyNumberFormat="1" applyFont="1" applyFill="1" applyBorder="1" applyAlignment="1">
      <alignment horizontal="left" vertical="center"/>
    </xf>
    <xf numFmtId="1" fontId="42" fillId="3" borderId="4" xfId="2" applyNumberFormat="1" applyFont="1" applyFill="1" applyBorder="1" applyAlignment="1">
      <alignment horizontal="left" vertical="center"/>
    </xf>
    <xf numFmtId="0" fontId="53" fillId="3" borderId="0" xfId="0" applyFont="1" applyFill="1" applyBorder="1" applyAlignment="1">
      <alignment horizontal="left" indent="3"/>
    </xf>
    <xf numFmtId="0" fontId="29" fillId="3" borderId="0" xfId="0" applyFont="1" applyFill="1" applyBorder="1" applyAlignment="1"/>
    <xf numFmtId="0" fontId="42" fillId="12" borderId="1" xfId="0" applyFont="1" applyFill="1" applyBorder="1" applyAlignment="1">
      <alignment vertical="center"/>
    </xf>
    <xf numFmtId="1" fontId="42" fillId="25" borderId="1" xfId="2" applyNumberFormat="1" applyFont="1" applyFill="1" applyBorder="1" applyAlignment="1">
      <alignment vertical="center"/>
    </xf>
    <xf numFmtId="0" fontId="42" fillId="25" borderId="1" xfId="2" applyFont="1" applyFill="1" applyBorder="1" applyAlignment="1">
      <alignment horizontal="center" vertical="center" wrapText="1"/>
    </xf>
    <xf numFmtId="0" fontId="112" fillId="3" borderId="0" xfId="0" applyFont="1" applyFill="1" applyBorder="1" applyAlignment="1">
      <alignment horizontal="left" indent="3"/>
    </xf>
    <xf numFmtId="9" fontId="42" fillId="3" borderId="1" xfId="1" applyFont="1" applyFill="1" applyBorder="1" applyAlignment="1">
      <alignment horizontal="center"/>
    </xf>
    <xf numFmtId="1" fontId="41" fillId="9" borderId="16" xfId="0" applyNumberFormat="1" applyFont="1" applyFill="1" applyBorder="1" applyAlignment="1">
      <alignment horizontal="center" vertical="center"/>
    </xf>
    <xf numFmtId="1" fontId="41" fillId="3" borderId="3" xfId="0" applyNumberFormat="1" applyFont="1" applyFill="1" applyBorder="1" applyAlignment="1">
      <alignment horizontal="left" vertical="center"/>
    </xf>
    <xf numFmtId="1" fontId="41" fillId="3" borderId="0" xfId="0" applyNumberFormat="1" applyFont="1" applyFill="1" applyBorder="1" applyAlignment="1">
      <alignment horizontal="left" vertical="center"/>
    </xf>
    <xf numFmtId="167" fontId="42" fillId="3" borderId="3" xfId="0" applyNumberFormat="1" applyFont="1" applyFill="1" applyBorder="1" applyAlignment="1">
      <alignment horizontal="right" vertical="center"/>
    </xf>
    <xf numFmtId="167" fontId="42" fillId="3" borderId="0" xfId="0" applyNumberFormat="1" applyFont="1" applyFill="1" applyBorder="1" applyAlignment="1">
      <alignment horizontal="right" vertical="center"/>
    </xf>
    <xf numFmtId="167" fontId="38" fillId="3" borderId="3" xfId="0" applyNumberFormat="1" applyFont="1" applyFill="1" applyBorder="1" applyAlignment="1">
      <alignment horizontal="right" vertical="center"/>
    </xf>
    <xf numFmtId="169" fontId="42" fillId="3" borderId="3" xfId="0" applyNumberFormat="1" applyFont="1" applyFill="1" applyBorder="1" applyAlignment="1">
      <alignment horizontal="right" vertical="center"/>
    </xf>
    <xf numFmtId="169" fontId="42" fillId="3" borderId="0" xfId="0" applyNumberFormat="1" applyFont="1" applyFill="1" applyBorder="1" applyAlignment="1">
      <alignment horizontal="right" vertical="center"/>
    </xf>
    <xf numFmtId="169" fontId="38" fillId="3" borderId="3" xfId="0" applyNumberFormat="1" applyFont="1" applyFill="1" applyBorder="1" applyAlignment="1">
      <alignment horizontal="right" vertical="center"/>
    </xf>
    <xf numFmtId="169" fontId="38" fillId="37" borderId="1" xfId="0" applyNumberFormat="1" applyFont="1" applyFill="1" applyBorder="1" applyAlignment="1">
      <alignment horizontal="right" vertical="center"/>
    </xf>
    <xf numFmtId="0" fontId="41" fillId="9" borderId="11" xfId="0" applyFont="1" applyFill="1" applyBorder="1" applyAlignment="1">
      <alignment horizontal="center" vertical="center" wrapText="1"/>
    </xf>
    <xf numFmtId="0" fontId="41" fillId="9" borderId="17" xfId="0" applyFont="1" applyFill="1" applyBorder="1" applyAlignment="1">
      <alignment horizontal="center" vertical="center" wrapText="1"/>
    </xf>
    <xf numFmtId="167" fontId="38" fillId="37" borderId="10" xfId="0" applyNumberFormat="1" applyFont="1" applyFill="1" applyBorder="1" applyAlignment="1">
      <alignment horizontal="right" vertical="center"/>
    </xf>
    <xf numFmtId="1" fontId="62" fillId="25" borderId="10" xfId="0" applyNumberFormat="1" applyFont="1" applyFill="1" applyBorder="1" applyAlignment="1">
      <alignment horizontal="left" vertical="center" wrapText="1"/>
    </xf>
    <xf numFmtId="0" fontId="42" fillId="3" borderId="0" xfId="0" applyFont="1" applyFill="1" applyBorder="1" applyAlignment="1">
      <alignment horizontal="center" vertical="center"/>
    </xf>
    <xf numFmtId="0" fontId="42" fillId="3" borderId="0" xfId="0" applyFont="1" applyFill="1" applyBorder="1" applyAlignment="1">
      <alignment horizontal="left" vertical="center" wrapText="1"/>
    </xf>
    <xf numFmtId="165" fontId="42" fillId="3" borderId="0" xfId="1" applyNumberFormat="1" applyFont="1" applyFill="1" applyBorder="1" applyAlignment="1">
      <alignment horizontal="right" vertical="center" indent="1"/>
    </xf>
    <xf numFmtId="165" fontId="38" fillId="3" borderId="0" xfId="1" applyNumberFormat="1" applyFont="1" applyFill="1" applyBorder="1" applyAlignment="1">
      <alignment horizontal="right" indent="1"/>
    </xf>
    <xf numFmtId="165" fontId="42" fillId="3" borderId="0" xfId="1" applyNumberFormat="1" applyFont="1" applyFill="1" applyBorder="1" applyAlignment="1">
      <alignment horizontal="right" indent="1"/>
    </xf>
    <xf numFmtId="1" fontId="62" fillId="25" borderId="9" xfId="0" applyNumberFormat="1" applyFont="1" applyFill="1" applyBorder="1" applyAlignment="1">
      <alignment horizontal="center" vertical="center"/>
    </xf>
    <xf numFmtId="0" fontId="62" fillId="25" borderId="9" xfId="2" applyFont="1" applyFill="1" applyBorder="1" applyAlignment="1">
      <alignment horizontal="center" vertical="center" wrapText="1"/>
    </xf>
    <xf numFmtId="0" fontId="62" fillId="25" borderId="10" xfId="2" applyFont="1" applyFill="1" applyBorder="1" applyAlignment="1">
      <alignment horizontal="center" vertical="center" wrapText="1"/>
    </xf>
    <xf numFmtId="9" fontId="42" fillId="12" borderId="1" xfId="1" applyFont="1" applyFill="1" applyBorder="1" applyAlignment="1">
      <alignment horizontal="right" vertical="center" indent="1"/>
    </xf>
    <xf numFmtId="0" fontId="42" fillId="3" borderId="3" xfId="0" applyFont="1" applyFill="1" applyBorder="1" applyAlignment="1">
      <alignment horizontal="center" vertical="center"/>
    </xf>
    <xf numFmtId="0" fontId="42" fillId="3" borderId="3" xfId="0" applyFont="1" applyFill="1" applyBorder="1" applyAlignment="1">
      <alignment horizontal="center" vertical="center" wrapText="1"/>
    </xf>
    <xf numFmtId="0" fontId="42" fillId="3" borderId="0" xfId="0" applyFont="1" applyFill="1" applyBorder="1" applyAlignment="1">
      <alignment horizontal="center" vertical="center" wrapText="1"/>
    </xf>
    <xf numFmtId="9" fontId="42" fillId="3" borderId="3" xfId="1" applyFont="1" applyFill="1" applyBorder="1" applyAlignment="1">
      <alignment horizontal="right" vertical="center" indent="1"/>
    </xf>
    <xf numFmtId="9" fontId="42" fillId="3" borderId="0" xfId="1" applyFont="1" applyFill="1" applyBorder="1" applyAlignment="1">
      <alignment horizontal="right" vertical="center" indent="1"/>
    </xf>
    <xf numFmtId="171" fontId="38" fillId="3" borderId="3" xfId="1" applyNumberFormat="1" applyFont="1" applyFill="1" applyBorder="1" applyAlignment="1">
      <alignment horizontal="right" vertical="center" indent="1"/>
    </xf>
    <xf numFmtId="171" fontId="38" fillId="3" borderId="0" xfId="1" applyNumberFormat="1" applyFont="1" applyFill="1" applyBorder="1" applyAlignment="1">
      <alignment horizontal="right" vertical="center" indent="1"/>
    </xf>
    <xf numFmtId="9" fontId="38" fillId="3" borderId="1" xfId="1" applyFont="1" applyFill="1" applyBorder="1" applyAlignment="1">
      <alignment horizontal="right" vertical="center" indent="1"/>
    </xf>
    <xf numFmtId="167" fontId="38" fillId="37" borderId="1" xfId="0" applyNumberFormat="1" applyFont="1" applyFill="1" applyBorder="1" applyAlignment="1">
      <alignment horizontal="right"/>
    </xf>
    <xf numFmtId="165" fontId="38" fillId="37" borderId="1" xfId="1" applyNumberFormat="1" applyFont="1" applyFill="1" applyBorder="1" applyAlignment="1">
      <alignment horizontal="right" indent="1"/>
    </xf>
    <xf numFmtId="1" fontId="62" fillId="16" borderId="9" xfId="0" applyNumberFormat="1" applyFont="1" applyFill="1" applyBorder="1" applyAlignment="1">
      <alignment horizontal="center" vertical="center" wrapText="1"/>
    </xf>
    <xf numFmtId="1" fontId="62" fillId="16" borderId="6" xfId="0" applyNumberFormat="1" applyFont="1" applyFill="1" applyBorder="1" applyAlignment="1">
      <alignment horizontal="center" vertical="center" wrapText="1"/>
    </xf>
    <xf numFmtId="1" fontId="62" fillId="16" borderId="10" xfId="0" applyNumberFormat="1" applyFont="1" applyFill="1" applyBorder="1" applyAlignment="1">
      <alignment horizontal="center" vertical="center" wrapText="1"/>
    </xf>
    <xf numFmtId="1" fontId="62" fillId="25" borderId="9" xfId="0" applyNumberFormat="1" applyFont="1" applyFill="1" applyBorder="1" applyAlignment="1">
      <alignment horizontal="center" vertical="center" wrapText="1"/>
    </xf>
    <xf numFmtId="1" fontId="62" fillId="25" borderId="6" xfId="0" applyNumberFormat="1" applyFont="1" applyFill="1" applyBorder="1" applyAlignment="1">
      <alignment horizontal="center" vertical="center" wrapText="1"/>
    </xf>
    <xf numFmtId="1" fontId="62" fillId="25" borderId="10" xfId="0" applyNumberFormat="1" applyFont="1" applyFill="1" applyBorder="1" applyAlignment="1">
      <alignment horizontal="center" vertical="center" wrapText="1"/>
    </xf>
    <xf numFmtId="0" fontId="41" fillId="9" borderId="1" xfId="0" applyFont="1" applyFill="1" applyBorder="1" applyAlignment="1">
      <alignment horizontal="center" vertical="center" wrapText="1"/>
    </xf>
    <xf numFmtId="167" fontId="42" fillId="12" borderId="1" xfId="0" applyNumberFormat="1" applyFont="1" applyFill="1" applyBorder="1" applyAlignment="1">
      <alignment horizontal="center"/>
    </xf>
    <xf numFmtId="167" fontId="42" fillId="12" borderId="1" xfId="0" applyNumberFormat="1" applyFont="1" applyFill="1" applyBorder="1" applyAlignment="1">
      <alignment horizontal="center" vertical="center"/>
    </xf>
    <xf numFmtId="167" fontId="38" fillId="3" borderId="1" xfId="0" applyNumberFormat="1" applyFont="1" applyFill="1" applyBorder="1" applyAlignment="1">
      <alignment horizontal="center"/>
    </xf>
    <xf numFmtId="167" fontId="42" fillId="3" borderId="9" xfId="0" applyNumberFormat="1" applyFont="1" applyFill="1" applyBorder="1" applyAlignment="1">
      <alignment horizontal="right" vertical="center"/>
    </xf>
    <xf numFmtId="167" fontId="42" fillId="3" borderId="1" xfId="0" applyNumberFormat="1" applyFont="1" applyFill="1" applyBorder="1" applyAlignment="1">
      <alignment horizontal="right" vertical="center"/>
    </xf>
    <xf numFmtId="167" fontId="42" fillId="37" borderId="9" xfId="0" applyNumberFormat="1" applyFont="1" applyFill="1" applyBorder="1" applyAlignment="1">
      <alignment horizontal="right" vertical="center"/>
    </xf>
    <xf numFmtId="0" fontId="42" fillId="3" borderId="0" xfId="0" applyFont="1" applyFill="1" applyBorder="1" applyAlignment="1">
      <alignment vertical="center"/>
    </xf>
    <xf numFmtId="166" fontId="42" fillId="3" borderId="0" xfId="3" applyNumberFormat="1" applyFont="1" applyFill="1" applyBorder="1" applyAlignment="1">
      <alignment horizontal="right" vertical="center" indent="1"/>
    </xf>
    <xf numFmtId="0" fontId="40" fillId="3" borderId="0" xfId="0" applyFont="1" applyFill="1" applyBorder="1" applyAlignment="1">
      <alignment vertical="top"/>
    </xf>
    <xf numFmtId="167" fontId="38" fillId="37" borderId="9" xfId="0" applyNumberFormat="1" applyFont="1" applyFill="1" applyBorder="1" applyAlignment="1">
      <alignment horizontal="right" vertical="center"/>
    </xf>
    <xf numFmtId="0" fontId="36" fillId="40" borderId="0" xfId="0" applyFont="1" applyFill="1" applyAlignment="1">
      <alignment vertical="center"/>
    </xf>
    <xf numFmtId="0" fontId="0" fillId="40" borderId="0" xfId="0" applyFill="1"/>
    <xf numFmtId="0" fontId="0" fillId="40" borderId="0" xfId="0" applyFill="1" applyAlignment="1">
      <alignment vertical="center"/>
    </xf>
    <xf numFmtId="0" fontId="0" fillId="40" borderId="0" xfId="0" applyFill="1" applyAlignment="1">
      <alignment horizontal="right" vertical="center"/>
    </xf>
    <xf numFmtId="0" fontId="0" fillId="40" borderId="0" xfId="0" applyFill="1" applyBorder="1" applyAlignment="1">
      <alignment vertical="center"/>
    </xf>
    <xf numFmtId="0" fontId="41" fillId="9" borderId="3" xfId="0" applyFont="1" applyFill="1" applyBorder="1" applyAlignment="1">
      <alignment horizontal="center" vertical="center" wrapText="1"/>
    </xf>
    <xf numFmtId="0" fontId="41" fillId="9" borderId="0" xfId="0" applyFont="1" applyFill="1" applyBorder="1" applyAlignment="1">
      <alignment horizontal="center" vertical="center" wrapText="1"/>
    </xf>
    <xf numFmtId="0" fontId="38" fillId="8" borderId="3" xfId="0" applyFont="1" applyFill="1" applyBorder="1" applyAlignment="1">
      <alignment horizontal="center" vertical="center" wrapText="1"/>
    </xf>
    <xf numFmtId="0" fontId="38" fillId="8" borderId="11" xfId="0" applyFont="1" applyFill="1" applyBorder="1" applyAlignment="1">
      <alignment horizontal="center" vertical="center" wrapText="1"/>
    </xf>
    <xf numFmtId="165" fontId="38" fillId="37" borderId="9" xfId="1" applyNumberFormat="1" applyFont="1" applyFill="1" applyBorder="1" applyAlignment="1">
      <alignment horizontal="right" vertical="center" indent="1"/>
    </xf>
    <xf numFmtId="167" fontId="42" fillId="12" borderId="9" xfId="0" applyNumberFormat="1" applyFont="1" applyFill="1" applyBorder="1" applyAlignment="1">
      <alignment horizontal="center" vertical="center"/>
    </xf>
    <xf numFmtId="167" fontId="38" fillId="3" borderId="1" xfId="0" applyNumberFormat="1" applyFont="1" applyFill="1" applyBorder="1" applyAlignment="1">
      <alignment horizontal="center" vertical="center"/>
    </xf>
    <xf numFmtId="167" fontId="38" fillId="3" borderId="9" xfId="0" applyNumberFormat="1" applyFont="1" applyFill="1" applyBorder="1" applyAlignment="1">
      <alignment horizontal="center" vertical="center"/>
    </xf>
    <xf numFmtId="168" fontId="42" fillId="3" borderId="1" xfId="0" applyNumberFormat="1" applyFont="1" applyFill="1" applyBorder="1" applyAlignment="1">
      <alignment horizontal="right" vertical="center"/>
    </xf>
    <xf numFmtId="1" fontId="41" fillId="9" borderId="2" xfId="0" applyNumberFormat="1" applyFont="1" applyFill="1" applyBorder="1" applyAlignment="1">
      <alignment horizontal="center" vertical="center"/>
    </xf>
    <xf numFmtId="0" fontId="41" fillId="9" borderId="22" xfId="0" applyFont="1" applyFill="1" applyBorder="1" applyAlignment="1">
      <alignment horizontal="center" vertical="center" wrapText="1"/>
    </xf>
    <xf numFmtId="0" fontId="38" fillId="8" borderId="22" xfId="0" applyFont="1" applyFill="1" applyBorder="1" applyAlignment="1">
      <alignment horizontal="center" vertical="center" wrapText="1"/>
    </xf>
    <xf numFmtId="0" fontId="41" fillId="9" borderId="9" xfId="0" applyFont="1" applyFill="1" applyBorder="1" applyAlignment="1">
      <alignment horizontal="center" vertical="center"/>
    </xf>
    <xf numFmtId="1" fontId="62" fillId="16" borderId="9" xfId="0" applyNumberFormat="1" applyFont="1" applyFill="1" applyBorder="1" applyAlignment="1">
      <alignment horizontal="center" vertical="center" wrapText="1"/>
    </xf>
    <xf numFmtId="1" fontId="62" fillId="16" borderId="6" xfId="0" applyNumberFormat="1" applyFont="1" applyFill="1" applyBorder="1" applyAlignment="1">
      <alignment horizontal="center" vertical="center" wrapText="1"/>
    </xf>
    <xf numFmtId="1" fontId="62" fillId="16" borderId="10" xfId="0" applyNumberFormat="1" applyFont="1" applyFill="1" applyBorder="1" applyAlignment="1">
      <alignment horizontal="center" vertical="center" wrapText="1"/>
    </xf>
    <xf numFmtId="0" fontId="62" fillId="25" borderId="9" xfId="2" applyFont="1" applyFill="1" applyBorder="1" applyAlignment="1">
      <alignment horizontal="center" vertical="center" wrapText="1"/>
    </xf>
    <xf numFmtId="0" fontId="62" fillId="25" borderId="10" xfId="2" applyFont="1" applyFill="1" applyBorder="1" applyAlignment="1">
      <alignment horizontal="center" vertical="center" wrapText="1"/>
    </xf>
    <xf numFmtId="0" fontId="42" fillId="8" borderId="1" xfId="0" applyFont="1" applyFill="1" applyBorder="1" applyAlignment="1">
      <alignment horizontal="center" vertical="center" wrapText="1"/>
    </xf>
    <xf numFmtId="0" fontId="41" fillId="9" borderId="1" xfId="0" applyFont="1" applyFill="1" applyBorder="1" applyAlignment="1">
      <alignment horizontal="center" vertical="center" wrapText="1"/>
    </xf>
    <xf numFmtId="168" fontId="42" fillId="37" borderId="1" xfId="0" applyNumberFormat="1" applyFont="1" applyFill="1" applyBorder="1" applyAlignment="1">
      <alignment horizontal="right" vertical="center"/>
    </xf>
    <xf numFmtId="1" fontId="62" fillId="25" borderId="15" xfId="0" applyNumberFormat="1" applyFont="1" applyFill="1" applyBorder="1" applyAlignment="1">
      <alignment horizontal="center" vertical="center" wrapText="1"/>
    </xf>
    <xf numFmtId="167" fontId="38" fillId="37" borderId="1" xfId="0" applyNumberFormat="1" applyFont="1" applyFill="1" applyBorder="1" applyAlignment="1">
      <alignment horizontal="center" vertical="center"/>
    </xf>
    <xf numFmtId="0" fontId="38" fillId="8" borderId="1" xfId="0" applyFont="1" applyFill="1" applyBorder="1" applyAlignment="1">
      <alignment horizontal="center" vertical="center" wrapText="1"/>
    </xf>
    <xf numFmtId="0" fontId="94" fillId="19" borderId="0" xfId="0" applyFont="1" applyFill="1" applyBorder="1" applyAlignment="1">
      <alignment horizontal="left" vertical="top" wrapText="1"/>
    </xf>
    <xf numFmtId="165" fontId="114" fillId="40" borderId="0" xfId="1" applyNumberFormat="1" applyFont="1" applyFill="1" applyBorder="1" applyAlignment="1">
      <alignment horizontal="left" vertical="center"/>
    </xf>
    <xf numFmtId="9" fontId="42" fillId="0" borderId="6" xfId="1" applyFont="1" applyBorder="1" applyAlignment="1">
      <alignment horizontal="center" vertical="center"/>
    </xf>
    <xf numFmtId="9" fontId="42" fillId="0" borderId="10" xfId="1" applyFont="1" applyBorder="1" applyAlignment="1">
      <alignment horizontal="center" vertical="center"/>
    </xf>
    <xf numFmtId="0" fontId="41" fillId="9" borderId="1" xfId="0" applyFont="1" applyFill="1" applyBorder="1" applyAlignment="1">
      <alignment horizontal="center" wrapText="1"/>
    </xf>
    <xf numFmtId="1" fontId="36" fillId="16" borderId="9" xfId="0" applyNumberFormat="1" applyFont="1" applyFill="1" applyBorder="1" applyAlignment="1">
      <alignment vertical="center"/>
    </xf>
    <xf numFmtId="1" fontId="36" fillId="3" borderId="0" xfId="0" applyNumberFormat="1" applyFont="1" applyFill="1" applyBorder="1" applyAlignment="1">
      <alignment vertical="center"/>
    </xf>
    <xf numFmtId="1" fontId="62" fillId="3" borderId="3" xfId="0" applyNumberFormat="1" applyFont="1" applyFill="1" applyBorder="1" applyAlignment="1">
      <alignment horizontal="center" vertical="center" wrapText="1"/>
    </xf>
    <xf numFmtId="1" fontId="42" fillId="3" borderId="3" xfId="1" applyNumberFormat="1" applyFont="1" applyFill="1" applyBorder="1" applyAlignment="1">
      <alignment horizontal="center" vertical="center"/>
    </xf>
    <xf numFmtId="1" fontId="42" fillId="3" borderId="0" xfId="1" applyNumberFormat="1" applyFont="1" applyFill="1" applyBorder="1" applyAlignment="1">
      <alignment horizontal="center" vertical="center"/>
    </xf>
    <xf numFmtId="0" fontId="38" fillId="0" borderId="2" xfId="0" applyFont="1" applyFill="1" applyBorder="1" applyAlignment="1">
      <alignment horizontal="center" vertical="center" wrapText="1"/>
    </xf>
    <xf numFmtId="0" fontId="38" fillId="0" borderId="11" xfId="0" applyFont="1" applyFill="1" applyBorder="1" applyAlignment="1">
      <alignment horizontal="center" vertical="center" wrapText="1"/>
    </xf>
    <xf numFmtId="0" fontId="38" fillId="0" borderId="22" xfId="0" applyFont="1" applyFill="1" applyBorder="1" applyAlignment="1">
      <alignment horizontal="center" vertical="center" wrapText="1"/>
    </xf>
    <xf numFmtId="0" fontId="62" fillId="3" borderId="22" xfId="2" applyFont="1" applyFill="1" applyBorder="1" applyAlignment="1">
      <alignment vertical="center" wrapText="1"/>
    </xf>
    <xf numFmtId="165" fontId="42" fillId="3" borderId="22" xfId="1" applyNumberFormat="1" applyFont="1" applyFill="1" applyBorder="1" applyAlignment="1">
      <alignment horizontal="right" vertical="center"/>
    </xf>
    <xf numFmtId="9" fontId="0" fillId="0" borderId="0" xfId="1" applyFont="1"/>
    <xf numFmtId="167" fontId="38" fillId="37" borderId="12" xfId="0" applyNumberFormat="1" applyFont="1" applyFill="1" applyBorder="1" applyAlignment="1">
      <alignment horizontal="right" vertical="center"/>
    </xf>
    <xf numFmtId="165" fontId="38" fillId="37" borderId="1" xfId="1" applyNumberFormat="1" applyFont="1" applyFill="1" applyBorder="1" applyAlignment="1">
      <alignment horizontal="right" vertical="center"/>
    </xf>
    <xf numFmtId="0" fontId="41" fillId="9" borderId="12" xfId="0" applyFont="1" applyFill="1" applyBorder="1" applyAlignment="1">
      <alignment horizontal="center" vertical="center" wrapText="1"/>
    </xf>
    <xf numFmtId="0" fontId="41" fillId="9" borderId="10" xfId="0" applyFont="1" applyFill="1" applyBorder="1" applyAlignment="1">
      <alignment horizontal="center" vertical="center" wrapText="1"/>
    </xf>
    <xf numFmtId="167" fontId="42" fillId="12" borderId="12" xfId="0" applyNumberFormat="1" applyFont="1" applyFill="1" applyBorder="1" applyAlignment="1">
      <alignment horizontal="center" vertical="center"/>
    </xf>
    <xf numFmtId="167" fontId="42" fillId="12" borderId="10" xfId="0" applyNumberFormat="1" applyFont="1" applyFill="1" applyBorder="1" applyAlignment="1">
      <alignment horizontal="center" vertical="center"/>
    </xf>
    <xf numFmtId="165" fontId="42" fillId="12" borderId="1" xfId="1" applyNumberFormat="1" applyFont="1" applyFill="1" applyBorder="1" applyAlignment="1">
      <alignment horizontal="center" vertical="center"/>
    </xf>
    <xf numFmtId="167" fontId="38" fillId="3" borderId="12" xfId="0" applyNumberFormat="1" applyFont="1" applyFill="1" applyBorder="1" applyAlignment="1">
      <alignment horizontal="center" vertical="center"/>
    </xf>
    <xf numFmtId="167" fontId="38" fillId="3" borderId="10" xfId="0" applyNumberFormat="1" applyFont="1" applyFill="1" applyBorder="1" applyAlignment="1">
      <alignment horizontal="center" vertical="center"/>
    </xf>
    <xf numFmtId="165" fontId="38" fillId="3" borderId="1" xfId="1" applyNumberFormat="1" applyFont="1" applyFill="1" applyBorder="1" applyAlignment="1">
      <alignment horizontal="center" vertical="center"/>
    </xf>
    <xf numFmtId="165" fontId="38" fillId="37" borderId="10" xfId="1" applyNumberFormat="1" applyFont="1" applyFill="1" applyBorder="1" applyAlignment="1">
      <alignment horizontal="right" vertical="center" indent="1"/>
    </xf>
    <xf numFmtId="165" fontId="42" fillId="37" borderId="4" xfId="1" applyNumberFormat="1" applyFont="1" applyFill="1" applyBorder="1" applyAlignment="1">
      <alignment horizontal="right" vertical="center" indent="1"/>
    </xf>
    <xf numFmtId="165" fontId="42" fillId="12" borderId="4" xfId="1" applyNumberFormat="1" applyFont="1" applyFill="1" applyBorder="1" applyAlignment="1">
      <alignment horizontal="center" vertical="center"/>
    </xf>
    <xf numFmtId="165" fontId="42" fillId="3" borderId="4" xfId="1" applyNumberFormat="1" applyFont="1" applyFill="1" applyBorder="1" applyAlignment="1">
      <alignment horizontal="center" vertical="center"/>
    </xf>
    <xf numFmtId="1" fontId="41" fillId="9" borderId="9" xfId="0" applyNumberFormat="1" applyFont="1" applyFill="1" applyBorder="1" applyAlignment="1">
      <alignment horizontal="center" vertical="center"/>
    </xf>
    <xf numFmtId="1" fontId="38" fillId="0" borderId="3" xfId="1" applyNumberFormat="1" applyFont="1" applyBorder="1" applyAlignment="1">
      <alignment horizontal="center" vertical="center"/>
    </xf>
    <xf numFmtId="1" fontId="38" fillId="0" borderId="13" xfId="1" applyNumberFormat="1" applyFont="1" applyBorder="1" applyAlignment="1">
      <alignment horizontal="center" vertical="center"/>
    </xf>
    <xf numFmtId="1" fontId="38" fillId="0" borderId="3" xfId="1" applyNumberFormat="1" applyFont="1" applyFill="1" applyBorder="1" applyAlignment="1">
      <alignment horizontal="center" vertical="center"/>
    </xf>
    <xf numFmtId="1" fontId="38" fillId="0" borderId="11" xfId="1" applyNumberFormat="1" applyFont="1" applyBorder="1" applyAlignment="1">
      <alignment horizontal="center" vertical="center"/>
    </xf>
    <xf numFmtId="1" fontId="38" fillId="0" borderId="13" xfId="1" applyNumberFormat="1" applyFont="1" applyFill="1" applyBorder="1" applyAlignment="1">
      <alignment horizontal="center" vertical="center"/>
    </xf>
    <xf numFmtId="1" fontId="38" fillId="0" borderId="4" xfId="1" applyNumberFormat="1" applyFont="1" applyBorder="1" applyAlignment="1">
      <alignment horizontal="center" vertical="center"/>
    </xf>
    <xf numFmtId="0" fontId="35" fillId="20" borderId="0" xfId="0" applyFont="1" applyFill="1" applyAlignment="1">
      <alignment wrapText="1"/>
    </xf>
    <xf numFmtId="0" fontId="37" fillId="3" borderId="0" xfId="0" applyFont="1" applyFill="1" applyBorder="1" applyAlignment="1">
      <alignment horizontal="left" vertical="center" wrapText="1"/>
    </xf>
    <xf numFmtId="0" fontId="23" fillId="3" borderId="0" xfId="0" applyFont="1" applyFill="1" applyAlignment="1">
      <alignment horizontal="right"/>
    </xf>
    <xf numFmtId="0" fontId="67" fillId="3" borderId="0" xfId="0" applyFont="1" applyFill="1" applyAlignment="1"/>
    <xf numFmtId="0" fontId="21" fillId="3" borderId="0" xfId="0" applyFont="1" applyFill="1" applyAlignment="1"/>
    <xf numFmtId="0" fontId="21" fillId="3" borderId="0" xfId="0" applyFont="1" applyFill="1"/>
    <xf numFmtId="0" fontId="61" fillId="41" borderId="0" xfId="0" applyFont="1" applyFill="1" applyBorder="1" applyAlignment="1">
      <alignment horizontal="left" vertical="center" indent="3"/>
    </xf>
    <xf numFmtId="0" fontId="36" fillId="41" borderId="0" xfId="0" applyFont="1" applyFill="1"/>
    <xf numFmtId="0" fontId="0" fillId="41" borderId="0" xfId="0" applyFill="1"/>
    <xf numFmtId="0" fontId="11" fillId="41" borderId="0" xfId="0" applyFont="1" applyFill="1" applyAlignment="1">
      <alignment horizontal="left" vertical="center" wrapText="1"/>
    </xf>
    <xf numFmtId="0" fontId="38" fillId="3" borderId="1" xfId="0" applyFont="1" applyFill="1" applyBorder="1" applyAlignment="1">
      <alignment horizontal="left" vertical="center" wrapText="1"/>
    </xf>
    <xf numFmtId="0" fontId="11" fillId="41" borderId="0" xfId="0" applyFont="1" applyFill="1" applyAlignment="1">
      <alignment vertical="center" wrapText="1"/>
    </xf>
    <xf numFmtId="0" fontId="45" fillId="3" borderId="0" xfId="0" applyFont="1" applyFill="1" applyBorder="1" applyAlignment="1">
      <alignment vertical="top"/>
    </xf>
    <xf numFmtId="0" fontId="34" fillId="15" borderId="0" xfId="0" applyFont="1" applyFill="1" applyBorder="1" applyAlignment="1">
      <alignment horizontal="left" indent="4"/>
    </xf>
    <xf numFmtId="0" fontId="34" fillId="15" borderId="0" xfId="0" applyFont="1" applyFill="1" applyBorder="1" applyAlignment="1"/>
    <xf numFmtId="0" fontId="41" fillId="15" borderId="0" xfId="0" applyFont="1" applyFill="1" applyBorder="1" applyAlignment="1">
      <alignment horizontal="right"/>
    </xf>
    <xf numFmtId="0" fontId="115" fillId="0" borderId="0" xfId="0" applyFont="1" applyAlignment="1">
      <alignment vertical="center"/>
    </xf>
    <xf numFmtId="0" fontId="34" fillId="3" borderId="0" xfId="0" applyFont="1" applyFill="1" applyBorder="1" applyAlignment="1">
      <alignment horizontal="left" indent="4"/>
    </xf>
    <xf numFmtId="0" fontId="34" fillId="3" borderId="0" xfId="0" applyFont="1" applyFill="1" applyBorder="1" applyAlignment="1"/>
    <xf numFmtId="0" fontId="41" fillId="3" borderId="0" xfId="0" applyFont="1" applyFill="1" applyBorder="1" applyAlignment="1">
      <alignment horizontal="right"/>
    </xf>
    <xf numFmtId="0" fontId="115" fillId="3" borderId="0" xfId="0" applyFont="1" applyFill="1" applyAlignment="1">
      <alignment vertical="center"/>
    </xf>
    <xf numFmtId="0" fontId="38" fillId="42" borderId="1" xfId="0" applyFont="1" applyFill="1" applyBorder="1" applyAlignment="1">
      <alignment horizontal="left" vertical="center" wrapText="1"/>
    </xf>
    <xf numFmtId="1" fontId="74" fillId="24" borderId="11" xfId="2" applyNumberFormat="1" applyFont="1" applyFill="1" applyBorder="1" applyAlignment="1">
      <alignment horizontal="left" vertical="center"/>
    </xf>
    <xf numFmtId="1" fontId="74" fillId="24" borderId="4" xfId="2" applyNumberFormat="1" applyFont="1" applyFill="1" applyBorder="1" applyAlignment="1">
      <alignment horizontal="left" vertical="center"/>
    </xf>
    <xf numFmtId="1" fontId="41" fillId="36" borderId="1" xfId="2" applyNumberFormat="1" applyFont="1" applyFill="1" applyBorder="1" applyAlignment="1">
      <alignment horizontal="left" vertical="center"/>
    </xf>
    <xf numFmtId="1" fontId="36" fillId="0" borderId="9" xfId="0" applyNumberFormat="1" applyFont="1" applyFill="1" applyBorder="1" applyAlignment="1">
      <alignment horizontal="center"/>
    </xf>
    <xf numFmtId="1" fontId="36" fillId="0" borderId="6" xfId="0" applyNumberFormat="1" applyFont="1" applyFill="1" applyBorder="1" applyAlignment="1">
      <alignment horizontal="center"/>
    </xf>
    <xf numFmtId="1" fontId="36" fillId="0" borderId="10" xfId="0" applyNumberFormat="1" applyFont="1" applyFill="1" applyBorder="1" applyAlignment="1">
      <alignment horizontal="center"/>
    </xf>
    <xf numFmtId="1" fontId="36" fillId="0" borderId="16" xfId="0" applyNumberFormat="1" applyFont="1" applyFill="1" applyBorder="1" applyAlignment="1">
      <alignment horizontal="center"/>
    </xf>
    <xf numFmtId="1" fontId="36" fillId="0" borderId="15" xfId="0" applyNumberFormat="1" applyFont="1" applyFill="1" applyBorder="1" applyAlignment="1">
      <alignment horizontal="center"/>
    </xf>
    <xf numFmtId="1" fontId="36" fillId="0" borderId="17" xfId="0" applyNumberFormat="1" applyFont="1" applyFill="1" applyBorder="1" applyAlignment="1">
      <alignment horizontal="center"/>
    </xf>
    <xf numFmtId="1" fontId="36" fillId="0" borderId="3" xfId="0" applyNumberFormat="1" applyFont="1" applyFill="1" applyBorder="1" applyAlignment="1">
      <alignment horizontal="center"/>
    </xf>
    <xf numFmtId="1" fontId="36" fillId="0" borderId="0" xfId="0" applyNumberFormat="1" applyFont="1" applyFill="1" applyBorder="1" applyAlignment="1">
      <alignment horizontal="center"/>
    </xf>
    <xf numFmtId="1" fontId="36" fillId="0" borderId="22" xfId="0" applyNumberFormat="1" applyFont="1" applyFill="1" applyBorder="1" applyAlignment="1">
      <alignment horizontal="center"/>
    </xf>
    <xf numFmtId="1" fontId="36" fillId="0" borderId="13" xfId="0" applyNumberFormat="1" applyFont="1" applyFill="1" applyBorder="1" applyAlignment="1">
      <alignment horizontal="center"/>
    </xf>
    <xf numFmtId="1" fontId="36" fillId="0" borderId="5" xfId="0" applyNumberFormat="1" applyFont="1" applyFill="1" applyBorder="1" applyAlignment="1">
      <alignment horizontal="center"/>
    </xf>
    <xf numFmtId="1" fontId="36" fillId="0" borderId="14" xfId="0" applyNumberFormat="1" applyFont="1" applyFill="1" applyBorder="1" applyAlignment="1">
      <alignment horizontal="center"/>
    </xf>
    <xf numFmtId="1" fontId="36" fillId="0" borderId="45" xfId="0" applyNumberFormat="1" applyFont="1" applyFill="1" applyBorder="1" applyAlignment="1">
      <alignment horizontal="center"/>
    </xf>
    <xf numFmtId="1" fontId="36" fillId="0" borderId="46" xfId="0" applyNumberFormat="1" applyFont="1" applyFill="1" applyBorder="1" applyAlignment="1">
      <alignment horizontal="center"/>
    </xf>
    <xf numFmtId="1" fontId="36" fillId="0" borderId="47" xfId="0" applyNumberFormat="1" applyFont="1" applyFill="1" applyBorder="1" applyAlignment="1">
      <alignment horizontal="center"/>
    </xf>
    <xf numFmtId="1" fontId="36" fillId="0" borderId="48" xfId="0" applyNumberFormat="1" applyFont="1" applyFill="1" applyBorder="1" applyAlignment="1">
      <alignment horizontal="center"/>
    </xf>
    <xf numFmtId="1" fontId="36" fillId="0" borderId="49" xfId="0" applyNumberFormat="1" applyFont="1" applyFill="1" applyBorder="1" applyAlignment="1">
      <alignment horizontal="center"/>
    </xf>
    <xf numFmtId="1" fontId="36" fillId="0" borderId="50" xfId="0" applyNumberFormat="1" applyFont="1" applyFill="1" applyBorder="1" applyAlignment="1">
      <alignment horizontal="center"/>
    </xf>
    <xf numFmtId="0" fontId="36" fillId="15" borderId="9" xfId="0" applyFont="1" applyFill="1" applyBorder="1" applyAlignment="1">
      <alignment vertical="center" wrapText="1"/>
    </xf>
    <xf numFmtId="0" fontId="36" fillId="15" borderId="6" xfId="0" applyFont="1" applyFill="1" applyBorder="1" applyAlignment="1">
      <alignment vertical="center" wrapText="1"/>
    </xf>
    <xf numFmtId="167" fontId="38" fillId="42" borderId="2" xfId="0" applyNumberFormat="1" applyFont="1" applyFill="1" applyBorder="1" applyAlignment="1">
      <alignment horizontal="center" vertical="center"/>
    </xf>
    <xf numFmtId="165" fontId="38" fillId="42" borderId="1" xfId="1" applyNumberFormat="1" applyFont="1" applyFill="1" applyBorder="1" applyAlignment="1">
      <alignment horizontal="center" vertical="center"/>
    </xf>
    <xf numFmtId="167" fontId="38" fillId="3" borderId="2" xfId="0" applyNumberFormat="1" applyFont="1" applyFill="1" applyBorder="1" applyAlignment="1">
      <alignment horizontal="center" vertical="center"/>
    </xf>
    <xf numFmtId="1" fontId="38" fillId="42" borderId="1" xfId="13" applyNumberFormat="1" applyFont="1" applyFill="1" applyBorder="1" applyAlignment="1">
      <alignment horizontal="center" vertical="center"/>
    </xf>
    <xf numFmtId="1" fontId="38" fillId="42" borderId="2" xfId="13" applyNumberFormat="1" applyFont="1" applyFill="1" applyBorder="1" applyAlignment="1">
      <alignment horizontal="center" vertical="center"/>
    </xf>
    <xf numFmtId="1" fontId="38" fillId="3" borderId="1" xfId="13" applyNumberFormat="1" applyFont="1" applyFill="1" applyBorder="1" applyAlignment="1">
      <alignment horizontal="center" vertical="center"/>
    </xf>
    <xf numFmtId="1" fontId="38" fillId="3" borderId="2" xfId="13" applyNumberFormat="1" applyFont="1" applyFill="1" applyBorder="1" applyAlignment="1">
      <alignment horizontal="center" vertical="center"/>
    </xf>
    <xf numFmtId="165" fontId="36" fillId="0" borderId="9" xfId="1" applyNumberFormat="1" applyFont="1" applyFill="1" applyBorder="1" applyAlignment="1">
      <alignment horizontal="center" vertical="center"/>
    </xf>
    <xf numFmtId="165" fontId="36" fillId="0" borderId="6" xfId="1" applyNumberFormat="1" applyFont="1" applyFill="1" applyBorder="1" applyAlignment="1">
      <alignment horizontal="center" vertical="center"/>
    </xf>
    <xf numFmtId="165" fontId="36" fillId="0" borderId="10" xfId="1" applyNumberFormat="1" applyFont="1" applyFill="1" applyBorder="1" applyAlignment="1">
      <alignment horizontal="center" vertical="center"/>
    </xf>
    <xf numFmtId="165" fontId="38" fillId="0" borderId="9" xfId="1" applyNumberFormat="1" applyFont="1" applyBorder="1" applyAlignment="1">
      <alignment horizontal="center"/>
    </xf>
    <xf numFmtId="165" fontId="38" fillId="0" borderId="6" xfId="1" applyNumberFormat="1" applyFont="1" applyBorder="1" applyAlignment="1">
      <alignment horizontal="center"/>
    </xf>
    <xf numFmtId="165" fontId="38" fillId="0" borderId="10" xfId="1" applyNumberFormat="1" applyFont="1" applyBorder="1" applyAlignment="1">
      <alignment horizontal="center"/>
    </xf>
    <xf numFmtId="0" fontId="38" fillId="3" borderId="0" xfId="0" applyFont="1" applyFill="1" applyBorder="1" applyAlignment="1">
      <alignment horizontal="left" vertical="center" wrapText="1"/>
    </xf>
    <xf numFmtId="167" fontId="38" fillId="3" borderId="0" xfId="0" applyNumberFormat="1" applyFont="1" applyFill="1" applyBorder="1" applyAlignment="1">
      <alignment horizontal="center" vertical="center"/>
    </xf>
    <xf numFmtId="1" fontId="38" fillId="3" borderId="0" xfId="13" applyNumberFormat="1" applyFont="1" applyFill="1" applyBorder="1" applyAlignment="1">
      <alignment horizontal="center" vertical="center"/>
    </xf>
    <xf numFmtId="0" fontId="35" fillId="41" borderId="0" xfId="0" applyFont="1" applyFill="1" applyAlignment="1">
      <alignment wrapText="1"/>
    </xf>
    <xf numFmtId="165" fontId="38" fillId="42" borderId="2" xfId="1" applyNumberFormat="1" applyFont="1" applyFill="1" applyBorder="1" applyAlignment="1">
      <alignment horizontal="center" vertical="center"/>
    </xf>
    <xf numFmtId="0" fontId="41" fillId="9" borderId="1" xfId="0" applyFont="1" applyFill="1" applyBorder="1" applyAlignment="1">
      <alignment horizontal="center" vertical="center" wrapText="1"/>
    </xf>
    <xf numFmtId="0" fontId="62" fillId="25" borderId="9" xfId="2" applyFont="1" applyFill="1" applyBorder="1" applyAlignment="1">
      <alignment horizontal="center" vertical="center" wrapText="1"/>
    </xf>
    <xf numFmtId="0" fontId="62" fillId="25" borderId="10" xfId="2" applyFont="1" applyFill="1" applyBorder="1" applyAlignment="1">
      <alignment horizontal="center" vertical="center" wrapText="1"/>
    </xf>
    <xf numFmtId="0" fontId="42" fillId="3" borderId="1" xfId="0" applyFont="1" applyFill="1" applyBorder="1" applyAlignment="1">
      <alignment vertical="center"/>
    </xf>
    <xf numFmtId="171" fontId="38" fillId="0" borderId="1" xfId="0" applyNumberFormat="1" applyFont="1" applyBorder="1" applyAlignment="1">
      <alignment horizontal="center"/>
    </xf>
    <xf numFmtId="168" fontId="42" fillId="36" borderId="50" xfId="2" applyNumberFormat="1" applyFont="1" applyFill="1" applyBorder="1" applyAlignment="1">
      <alignment horizontal="center" vertical="center"/>
    </xf>
    <xf numFmtId="173" fontId="42" fillId="3" borderId="1" xfId="14" applyNumberFormat="1" applyFont="1" applyFill="1" applyBorder="1" applyAlignment="1">
      <alignment horizontal="center"/>
    </xf>
    <xf numFmtId="173" fontId="42" fillId="3" borderId="1" xfId="14" applyNumberFormat="1" applyFont="1" applyFill="1" applyBorder="1" applyAlignment="1">
      <alignment horizontal="right" vertical="center" indent="1"/>
    </xf>
    <xf numFmtId="1" fontId="38" fillId="3" borderId="9" xfId="2" applyNumberFormat="1" applyFont="1" applyFill="1" applyBorder="1" applyAlignment="1">
      <alignment horizontal="left" vertical="center"/>
    </xf>
    <xf numFmtId="0" fontId="62" fillId="3" borderId="9" xfId="2" applyFont="1" applyFill="1" applyBorder="1" applyAlignment="1">
      <alignment horizontal="center" vertical="center"/>
    </xf>
    <xf numFmtId="0" fontId="62" fillId="3" borderId="6" xfId="2" applyFont="1" applyFill="1" applyBorder="1" applyAlignment="1">
      <alignment horizontal="center" vertical="center"/>
    </xf>
    <xf numFmtId="165" fontId="42" fillId="3" borderId="6" xfId="1" applyNumberFormat="1" applyFont="1" applyFill="1" applyBorder="1" applyAlignment="1">
      <alignment horizontal="center" vertical="center"/>
    </xf>
    <xf numFmtId="165" fontId="62" fillId="0" borderId="6" xfId="1" applyNumberFormat="1" applyFont="1" applyBorder="1" applyAlignment="1">
      <alignment horizontal="center" vertical="center"/>
    </xf>
    <xf numFmtId="168" fontId="38" fillId="3" borderId="1" xfId="0" applyNumberFormat="1" applyFont="1" applyFill="1" applyBorder="1" applyAlignment="1">
      <alignment horizontal="right" vertical="center"/>
    </xf>
    <xf numFmtId="167" fontId="41" fillId="37" borderId="1" xfId="0" applyNumberFormat="1" applyFont="1" applyFill="1" applyBorder="1" applyAlignment="1">
      <alignment horizontal="right" vertical="center"/>
    </xf>
    <xf numFmtId="168" fontId="41" fillId="37" borderId="1" xfId="0" applyNumberFormat="1" applyFont="1" applyFill="1" applyBorder="1" applyAlignment="1">
      <alignment horizontal="right" vertical="center"/>
    </xf>
    <xf numFmtId="171" fontId="38" fillId="3" borderId="9" xfId="2" applyNumberFormat="1" applyFont="1" applyFill="1" applyBorder="1" applyAlignment="1">
      <alignment horizontal="center" vertical="center"/>
    </xf>
    <xf numFmtId="171" fontId="38" fillId="3" borderId="6" xfId="2" applyNumberFormat="1" applyFont="1" applyFill="1" applyBorder="1" applyAlignment="1">
      <alignment horizontal="center" vertical="center"/>
    </xf>
    <xf numFmtId="169" fontId="42" fillId="0" borderId="16" xfId="2" applyNumberFormat="1" applyFont="1" applyBorder="1" applyAlignment="1">
      <alignment horizontal="center" vertical="center"/>
    </xf>
    <xf numFmtId="169" fontId="42" fillId="0" borderId="3" xfId="2" applyNumberFormat="1" applyFont="1" applyBorder="1" applyAlignment="1">
      <alignment horizontal="center" vertical="center"/>
    </xf>
    <xf numFmtId="169" fontId="42" fillId="0" borderId="45" xfId="2" applyNumberFormat="1" applyFont="1" applyBorder="1" applyAlignment="1">
      <alignment horizontal="center" vertical="center"/>
    </xf>
    <xf numFmtId="169" fontId="42" fillId="0" borderId="48" xfId="2" applyNumberFormat="1" applyFont="1" applyBorder="1" applyAlignment="1">
      <alignment horizontal="center" vertical="center"/>
    </xf>
    <xf numFmtId="169" fontId="38" fillId="0" borderId="3" xfId="2" applyNumberFormat="1" applyFont="1" applyFill="1" applyBorder="1" applyAlignment="1">
      <alignment horizontal="center" vertical="center"/>
    </xf>
    <xf numFmtId="169" fontId="38" fillId="0" borderId="48" xfId="2" applyNumberFormat="1" applyFont="1" applyFill="1" applyBorder="1" applyAlignment="1">
      <alignment horizontal="center" vertical="center"/>
    </xf>
    <xf numFmtId="169" fontId="38" fillId="0" borderId="3" xfId="2" applyNumberFormat="1" applyFont="1" applyBorder="1" applyAlignment="1">
      <alignment horizontal="center" vertical="center"/>
    </xf>
    <xf numFmtId="169" fontId="38" fillId="0" borderId="13" xfId="2" applyNumberFormat="1" applyFont="1" applyBorder="1" applyAlignment="1">
      <alignment horizontal="center" vertical="center"/>
    </xf>
    <xf numFmtId="169" fontId="38" fillId="0" borderId="16" xfId="2" applyNumberFormat="1" applyFont="1" applyFill="1" applyBorder="1" applyAlignment="1">
      <alignment horizontal="center" vertical="center"/>
    </xf>
    <xf numFmtId="165" fontId="42" fillId="12" borderId="6" xfId="1" applyNumberFormat="1" applyFont="1" applyFill="1" applyBorder="1" applyAlignment="1">
      <alignment horizontal="center" vertical="center"/>
    </xf>
    <xf numFmtId="165" fontId="42" fillId="12" borderId="10" xfId="1" applyNumberFormat="1" applyFont="1" applyFill="1" applyBorder="1" applyAlignment="1">
      <alignment horizontal="center" vertical="center"/>
    </xf>
    <xf numFmtId="165" fontId="42" fillId="12" borderId="9" xfId="1" applyNumberFormat="1" applyFont="1" applyFill="1" applyBorder="1" applyAlignment="1">
      <alignment horizontal="center" vertical="center"/>
    </xf>
    <xf numFmtId="0" fontId="94" fillId="34" borderId="0" xfId="0" applyFont="1" applyFill="1" applyAlignment="1">
      <alignment horizontal="left" wrapText="1" indent="1"/>
    </xf>
    <xf numFmtId="1" fontId="38" fillId="24" borderId="13" xfId="2" applyNumberFormat="1" applyFont="1" applyFill="1" applyBorder="1" applyAlignment="1">
      <alignment horizontal="left" vertical="center"/>
    </xf>
    <xf numFmtId="1" fontId="62" fillId="25" borderId="0" xfId="0" applyNumberFormat="1" applyFont="1" applyFill="1" applyBorder="1" applyAlignment="1">
      <alignment horizontal="center" vertical="center"/>
    </xf>
    <xf numFmtId="1" fontId="74" fillId="0" borderId="0" xfId="0" applyNumberFormat="1" applyFont="1" applyBorder="1" applyAlignment="1">
      <alignment horizontal="center"/>
    </xf>
    <xf numFmtId="1" fontId="74" fillId="0" borderId="49" xfId="0" applyNumberFormat="1" applyFont="1" applyBorder="1" applyAlignment="1">
      <alignment horizontal="center"/>
    </xf>
    <xf numFmtId="1" fontId="74" fillId="0" borderId="0" xfId="0" applyNumberFormat="1" applyFont="1" applyBorder="1" applyAlignment="1">
      <alignment horizontal="center" vertical="center"/>
    </xf>
    <xf numFmtId="1" fontId="38" fillId="0" borderId="0" xfId="0" applyNumberFormat="1" applyFont="1" applyBorder="1" applyAlignment="1">
      <alignment horizontal="center" vertical="center"/>
    </xf>
    <xf numFmtId="1" fontId="38" fillId="0" borderId="22" xfId="0" applyNumberFormat="1" applyFont="1" applyBorder="1" applyAlignment="1">
      <alignment horizontal="center" vertical="center"/>
    </xf>
    <xf numFmtId="0" fontId="48" fillId="3" borderId="0" xfId="0" applyFont="1" applyFill="1" applyAlignment="1">
      <alignment vertical="center"/>
    </xf>
    <xf numFmtId="0" fontId="41" fillId="9" borderId="16" xfId="0" applyFont="1" applyFill="1" applyBorder="1" applyAlignment="1">
      <alignment horizontal="left" vertical="center" wrapText="1"/>
    </xf>
    <xf numFmtId="0" fontId="42" fillId="8" borderId="2" xfId="0" applyFont="1" applyFill="1" applyBorder="1" applyAlignment="1">
      <alignment horizontal="left" vertical="center" wrapText="1"/>
    </xf>
    <xf numFmtId="0" fontId="82" fillId="15" borderId="6" xfId="0" applyFont="1" applyFill="1" applyBorder="1" applyAlignment="1">
      <alignment vertical="center" wrapText="1"/>
    </xf>
    <xf numFmtId="0" fontId="82" fillId="15" borderId="10" xfId="0" applyFont="1" applyFill="1" applyBorder="1" applyAlignment="1">
      <alignment vertical="center" wrapText="1"/>
    </xf>
    <xf numFmtId="0" fontId="45" fillId="3" borderId="0" xfId="0" applyFont="1" applyFill="1" applyBorder="1" applyAlignment="1">
      <alignment vertical="top" wrapText="1"/>
    </xf>
    <xf numFmtId="0" fontId="38" fillId="3" borderId="11" xfId="0" applyFont="1" applyFill="1" applyBorder="1" applyAlignment="1">
      <alignment horizontal="left" vertical="center" wrapText="1"/>
    </xf>
    <xf numFmtId="0" fontId="38" fillId="42" borderId="8" xfId="0" applyFont="1" applyFill="1" applyBorder="1" applyAlignment="1">
      <alignment vertical="center" wrapText="1"/>
    </xf>
    <xf numFmtId="165" fontId="38" fillId="42" borderId="53" xfId="1" applyNumberFormat="1" applyFont="1" applyFill="1" applyBorder="1" applyAlignment="1">
      <alignment horizontal="right" vertical="center" indent="1"/>
    </xf>
    <xf numFmtId="165" fontId="38" fillId="42" borderId="55" xfId="1" applyNumberFormat="1" applyFont="1" applyFill="1" applyBorder="1" applyAlignment="1">
      <alignment horizontal="right" vertical="center" indent="1"/>
    </xf>
    <xf numFmtId="0" fontId="38" fillId="40" borderId="7" xfId="0" applyFont="1" applyFill="1" applyBorder="1" applyAlignment="1">
      <alignment vertical="center" wrapText="1"/>
    </xf>
    <xf numFmtId="165" fontId="38" fillId="40" borderId="57" xfId="1" applyNumberFormat="1" applyFont="1" applyFill="1" applyBorder="1" applyAlignment="1">
      <alignment horizontal="right" vertical="center" indent="1"/>
    </xf>
    <xf numFmtId="0" fontId="38" fillId="3" borderId="8" xfId="0" applyFont="1" applyFill="1" applyBorder="1" applyAlignment="1">
      <alignment vertical="center" wrapText="1"/>
    </xf>
    <xf numFmtId="165" fontId="38" fillId="3" borderId="53" xfId="1" applyNumberFormat="1" applyFont="1" applyFill="1" applyBorder="1" applyAlignment="1">
      <alignment horizontal="right" vertical="center" indent="1"/>
    </xf>
    <xf numFmtId="165" fontId="38" fillId="3" borderId="55" xfId="1" applyNumberFormat="1" applyFont="1" applyFill="1" applyBorder="1" applyAlignment="1">
      <alignment horizontal="right" vertical="center" indent="1"/>
    </xf>
    <xf numFmtId="167" fontId="38" fillId="42" borderId="8" xfId="0" applyNumberFormat="1" applyFont="1" applyFill="1" applyBorder="1" applyAlignment="1">
      <alignment horizontal="center" vertical="center"/>
    </xf>
    <xf numFmtId="167" fontId="38" fillId="42" borderId="1" xfId="0" applyNumberFormat="1" applyFont="1" applyFill="1" applyBorder="1" applyAlignment="1">
      <alignment horizontal="center" vertical="center"/>
    </xf>
    <xf numFmtId="167" fontId="38" fillId="40" borderId="7" xfId="0" applyNumberFormat="1" applyFont="1" applyFill="1" applyBorder="1" applyAlignment="1">
      <alignment horizontal="center" vertical="center"/>
    </xf>
    <xf numFmtId="167" fontId="38" fillId="3" borderId="8" xfId="0" applyNumberFormat="1" applyFont="1" applyFill="1" applyBorder="1" applyAlignment="1">
      <alignment horizontal="center" vertical="center"/>
    </xf>
    <xf numFmtId="9" fontId="38" fillId="40" borderId="57" xfId="1" applyNumberFormat="1" applyFont="1" applyFill="1" applyBorder="1" applyAlignment="1">
      <alignment horizontal="right" vertical="center" indent="1"/>
    </xf>
    <xf numFmtId="167" fontId="38" fillId="0" borderId="1" xfId="0" applyNumberFormat="1" applyFont="1" applyFill="1" applyBorder="1" applyAlignment="1">
      <alignment horizontal="right" vertical="center"/>
    </xf>
    <xf numFmtId="0" fontId="37" fillId="0" borderId="0" xfId="0" applyFont="1" applyBorder="1" applyAlignment="1">
      <alignment horizontal="center"/>
    </xf>
    <xf numFmtId="0" fontId="37" fillId="3" borderId="0" xfId="0" applyFont="1" applyFill="1" applyBorder="1" applyAlignment="1">
      <alignment horizontal="center"/>
    </xf>
    <xf numFmtId="0" fontId="38" fillId="3" borderId="0" xfId="0" applyFont="1" applyFill="1" applyBorder="1" applyAlignment="1">
      <alignment horizontal="center" vertical="center" wrapText="1"/>
    </xf>
    <xf numFmtId="0" fontId="38" fillId="3" borderId="0" xfId="0" applyFont="1" applyFill="1" applyBorder="1" applyAlignment="1">
      <alignment horizontal="right" vertical="center" wrapText="1" indent="1"/>
    </xf>
    <xf numFmtId="165" fontId="42" fillId="0" borderId="5" xfId="1" applyNumberFormat="1" applyFont="1" applyFill="1" applyBorder="1" applyAlignment="1">
      <alignment horizontal="center" vertical="center"/>
    </xf>
    <xf numFmtId="167" fontId="42" fillId="0" borderId="16" xfId="2" applyNumberFormat="1" applyFont="1" applyFill="1" applyBorder="1" applyAlignment="1">
      <alignment horizontal="center" vertical="center"/>
    </xf>
    <xf numFmtId="167" fontId="42" fillId="0" borderId="15" xfId="2" applyNumberFormat="1" applyFont="1" applyFill="1" applyBorder="1" applyAlignment="1">
      <alignment horizontal="center" vertical="center"/>
    </xf>
    <xf numFmtId="167" fontId="42" fillId="0" borderId="17" xfId="2" applyNumberFormat="1" applyFont="1" applyFill="1" applyBorder="1" applyAlignment="1">
      <alignment horizontal="center" vertical="center"/>
    </xf>
    <xf numFmtId="167" fontId="42" fillId="0" borderId="3" xfId="2" applyNumberFormat="1" applyFont="1" applyFill="1" applyBorder="1" applyAlignment="1">
      <alignment horizontal="center" vertical="center"/>
    </xf>
    <xf numFmtId="167" fontId="42" fillId="0" borderId="0" xfId="2" applyNumberFormat="1" applyFont="1" applyFill="1" applyBorder="1" applyAlignment="1">
      <alignment horizontal="center" vertical="center"/>
    </xf>
    <xf numFmtId="167" fontId="42" fillId="0" borderId="22" xfId="2" applyNumberFormat="1" applyFont="1" applyFill="1" applyBorder="1" applyAlignment="1">
      <alignment horizontal="center" vertical="center"/>
    </xf>
    <xf numFmtId="167" fontId="42" fillId="0" borderId="48" xfId="2" applyNumberFormat="1" applyFont="1" applyFill="1" applyBorder="1" applyAlignment="1">
      <alignment horizontal="center" vertical="center"/>
    </xf>
    <xf numFmtId="167" fontId="42" fillId="0" borderId="49" xfId="2" applyNumberFormat="1" applyFont="1" applyFill="1" applyBorder="1" applyAlignment="1">
      <alignment horizontal="center" vertical="center"/>
    </xf>
    <xf numFmtId="167" fontId="42" fillId="0" borderId="50" xfId="2" applyNumberFormat="1" applyFont="1" applyFill="1" applyBorder="1" applyAlignment="1">
      <alignment horizontal="center" vertical="center"/>
    </xf>
    <xf numFmtId="167" fontId="42" fillId="0" borderId="45" xfId="2" applyNumberFormat="1" applyFont="1" applyFill="1" applyBorder="1" applyAlignment="1">
      <alignment horizontal="center" vertical="center"/>
    </xf>
    <xf numFmtId="167" fontId="42" fillId="0" borderId="46" xfId="2" applyNumberFormat="1" applyFont="1" applyFill="1" applyBorder="1" applyAlignment="1">
      <alignment horizontal="center" vertical="center"/>
    </xf>
    <xf numFmtId="167" fontId="42" fillId="0" borderId="47" xfId="2" applyNumberFormat="1" applyFont="1" applyFill="1" applyBorder="1" applyAlignment="1">
      <alignment horizontal="center" vertical="center"/>
    </xf>
    <xf numFmtId="168" fontId="42" fillId="0" borderId="2" xfId="2" applyNumberFormat="1" applyFont="1" applyBorder="1" applyAlignment="1">
      <alignment horizontal="center" vertical="center"/>
    </xf>
    <xf numFmtId="168" fontId="42" fillId="0" borderId="11" xfId="2" applyNumberFormat="1" applyFont="1" applyBorder="1" applyAlignment="1">
      <alignment horizontal="center" vertical="center"/>
    </xf>
    <xf numFmtId="168" fontId="42" fillId="0" borderId="44" xfId="2" applyNumberFormat="1" applyFont="1" applyBorder="1" applyAlignment="1">
      <alignment horizontal="center" vertical="center"/>
    </xf>
    <xf numFmtId="168" fontId="42" fillId="36" borderId="11" xfId="2" applyNumberFormat="1" applyFont="1" applyFill="1" applyBorder="1" applyAlignment="1">
      <alignment horizontal="center" vertical="center"/>
    </xf>
    <xf numFmtId="168" fontId="42" fillId="0" borderId="0" xfId="2" applyNumberFormat="1" applyFont="1" applyBorder="1" applyAlignment="1">
      <alignment horizontal="center" vertical="center"/>
    </xf>
    <xf numFmtId="168" fontId="42" fillId="0" borderId="46" xfId="2" applyNumberFormat="1" applyFont="1" applyBorder="1" applyAlignment="1">
      <alignment horizontal="center" vertical="center"/>
    </xf>
    <xf numFmtId="168" fontId="42" fillId="36" borderId="48" xfId="2" applyNumberFormat="1" applyFont="1" applyFill="1" applyBorder="1" applyAlignment="1">
      <alignment horizontal="center" vertical="center"/>
    </xf>
    <xf numFmtId="1" fontId="62" fillId="25" borderId="10" xfId="0" applyNumberFormat="1" applyFont="1" applyFill="1" applyBorder="1" applyAlignment="1">
      <alignment horizontal="center" vertical="center"/>
    </xf>
    <xf numFmtId="0" fontId="71" fillId="30" borderId="2" xfId="0" applyFont="1" applyFill="1" applyBorder="1" applyAlignment="1">
      <alignment horizontal="center" vertical="center" wrapText="1"/>
    </xf>
    <xf numFmtId="1" fontId="67" fillId="11" borderId="16" xfId="0" applyNumberFormat="1" applyFont="1" applyFill="1" applyBorder="1" applyAlignment="1">
      <alignment horizontal="center" vertical="center" wrapText="1"/>
    </xf>
    <xf numFmtId="1" fontId="67" fillId="11" borderId="15" xfId="0" applyNumberFormat="1" applyFont="1" applyFill="1" applyBorder="1" applyAlignment="1">
      <alignment horizontal="center" vertical="center" wrapText="1"/>
    </xf>
    <xf numFmtId="1" fontId="67" fillId="11" borderId="17" xfId="0" applyNumberFormat="1" applyFont="1" applyFill="1" applyBorder="1" applyAlignment="1">
      <alignment horizontal="center" vertical="center" wrapText="1"/>
    </xf>
    <xf numFmtId="0" fontId="36" fillId="15" borderId="9" xfId="0" applyFont="1" applyFill="1" applyBorder="1" applyAlignment="1">
      <alignment horizontal="center" vertical="center" wrapText="1"/>
    </xf>
    <xf numFmtId="0" fontId="36" fillId="15" borderId="16" xfId="0" applyFont="1" applyFill="1" applyBorder="1" applyAlignment="1">
      <alignment horizontal="center" vertical="center" wrapText="1"/>
    </xf>
    <xf numFmtId="0" fontId="36" fillId="15" borderId="15" xfId="0" applyFont="1" applyFill="1" applyBorder="1" applyAlignment="1">
      <alignment horizontal="center" vertical="center" wrapText="1"/>
    </xf>
    <xf numFmtId="0" fontId="36" fillId="15" borderId="17" xfId="0" applyFont="1" applyFill="1" applyBorder="1" applyAlignment="1">
      <alignment horizontal="center" vertical="center" wrapText="1"/>
    </xf>
    <xf numFmtId="1" fontId="36" fillId="25" borderId="10" xfId="2" applyNumberFormat="1" applyFont="1" applyFill="1" applyBorder="1" applyAlignment="1">
      <alignment horizontal="center" vertical="center" wrapText="1"/>
    </xf>
    <xf numFmtId="1" fontId="2" fillId="0" borderId="5" xfId="2" applyNumberFormat="1" applyFont="1" applyBorder="1" applyAlignment="1">
      <alignment horizontal="center" vertical="center"/>
    </xf>
    <xf numFmtId="167" fontId="42" fillId="0" borderId="13" xfId="2" applyNumberFormat="1" applyFont="1" applyFill="1" applyBorder="1" applyAlignment="1">
      <alignment horizontal="center" vertical="center"/>
    </xf>
    <xf numFmtId="167" fontId="42" fillId="0" borderId="5" xfId="2" applyNumberFormat="1" applyFont="1" applyFill="1" applyBorder="1" applyAlignment="1">
      <alignment horizontal="center" vertical="center"/>
    </xf>
    <xf numFmtId="167" fontId="42" fillId="0" borderId="14" xfId="2" applyNumberFormat="1" applyFont="1" applyFill="1" applyBorder="1" applyAlignment="1">
      <alignment horizontal="center" vertical="center"/>
    </xf>
    <xf numFmtId="1" fontId="62" fillId="16" borderId="10" xfId="0" applyNumberFormat="1" applyFont="1" applyFill="1" applyBorder="1" applyAlignment="1">
      <alignment horizontal="center" vertical="center" wrapText="1"/>
    </xf>
    <xf numFmtId="169" fontId="42" fillId="0" borderId="15" xfId="2" applyNumberFormat="1" applyFont="1" applyFill="1" applyBorder="1" applyAlignment="1">
      <alignment horizontal="center" vertical="center"/>
    </xf>
    <xf numFmtId="169" fontId="42" fillId="0" borderId="17" xfId="2" applyNumberFormat="1" applyFont="1" applyFill="1" applyBorder="1" applyAlignment="1">
      <alignment horizontal="center" vertical="center"/>
    </xf>
    <xf numFmtId="169" fontId="42" fillId="0" borderId="0" xfId="2" applyNumberFormat="1" applyFont="1" applyFill="1" applyBorder="1" applyAlignment="1">
      <alignment horizontal="center" vertical="center"/>
    </xf>
    <xf numFmtId="169" fontId="42" fillId="0" borderId="22" xfId="2" applyNumberFormat="1" applyFont="1" applyFill="1" applyBorder="1" applyAlignment="1">
      <alignment horizontal="center" vertical="center"/>
    </xf>
    <xf numFmtId="169" fontId="42" fillId="0" borderId="49" xfId="2" applyNumberFormat="1" applyFont="1" applyFill="1" applyBorder="1" applyAlignment="1">
      <alignment horizontal="center" vertical="center"/>
    </xf>
    <xf numFmtId="169" fontId="42" fillId="0" borderId="50" xfId="2" applyNumberFormat="1" applyFont="1" applyFill="1" applyBorder="1" applyAlignment="1">
      <alignment horizontal="center" vertical="center"/>
    </xf>
    <xf numFmtId="0" fontId="62" fillId="0" borderId="0" xfId="0" applyFont="1" applyFill="1"/>
    <xf numFmtId="9" fontId="42" fillId="0" borderId="9" xfId="1" applyNumberFormat="1" applyFont="1" applyFill="1" applyBorder="1" applyAlignment="1">
      <alignment horizontal="center" vertical="center"/>
    </xf>
    <xf numFmtId="9" fontId="42" fillId="0" borderId="6" xfId="1" applyNumberFormat="1" applyFont="1" applyFill="1" applyBorder="1" applyAlignment="1">
      <alignment horizontal="center" vertical="center"/>
    </xf>
    <xf numFmtId="9" fontId="42" fillId="0" borderId="10" xfId="1" applyNumberFormat="1" applyFont="1" applyFill="1" applyBorder="1" applyAlignment="1">
      <alignment horizontal="center" vertical="center"/>
    </xf>
    <xf numFmtId="0" fontId="72" fillId="15" borderId="0" xfId="0" applyFont="1" applyFill="1" applyBorder="1" applyAlignment="1">
      <alignment horizontal="center" vertical="center" wrapText="1"/>
    </xf>
    <xf numFmtId="0" fontId="36" fillId="15" borderId="17" xfId="0" applyFont="1" applyFill="1" applyBorder="1" applyAlignment="1">
      <alignment vertical="center" wrapText="1"/>
    </xf>
    <xf numFmtId="0" fontId="36" fillId="15" borderId="9" xfId="0" applyFont="1" applyFill="1" applyBorder="1" applyAlignment="1">
      <alignment horizontal="left" vertical="center" wrapText="1"/>
    </xf>
    <xf numFmtId="0" fontId="36" fillId="15" borderId="6" xfId="0" applyFont="1" applyFill="1" applyBorder="1" applyAlignment="1">
      <alignment horizontal="left" vertical="center" wrapText="1"/>
    </xf>
    <xf numFmtId="0" fontId="36" fillId="15" borderId="15" xfId="0" applyFont="1" applyFill="1" applyBorder="1" applyAlignment="1">
      <alignment horizontal="left" vertical="center" wrapText="1"/>
    </xf>
    <xf numFmtId="0" fontId="36" fillId="15" borderId="17" xfId="0" applyFont="1" applyFill="1" applyBorder="1" applyAlignment="1">
      <alignment horizontal="left" vertical="center" wrapText="1"/>
    </xf>
    <xf numFmtId="1" fontId="41" fillId="9" borderId="4" xfId="0" applyNumberFormat="1" applyFont="1" applyFill="1" applyBorder="1" applyAlignment="1">
      <alignment horizontal="center" vertical="center" wrapText="1"/>
    </xf>
    <xf numFmtId="0" fontId="8" fillId="0" borderId="0" xfId="0" applyFont="1" applyFill="1" applyAlignment="1">
      <alignment wrapText="1"/>
    </xf>
    <xf numFmtId="1" fontId="2" fillId="0" borderId="13" xfId="2" applyNumberFormat="1" applyFont="1" applyBorder="1" applyAlignment="1">
      <alignment horizontal="center" vertical="center"/>
    </xf>
    <xf numFmtId="167" fontId="2" fillId="0" borderId="5" xfId="2" applyNumberFormat="1" applyFont="1" applyBorder="1" applyAlignment="1">
      <alignment horizontal="center" vertical="center"/>
    </xf>
    <xf numFmtId="167" fontId="2" fillId="0" borderId="14" xfId="2" applyNumberFormat="1" applyFont="1" applyBorder="1" applyAlignment="1">
      <alignment horizontal="center" vertical="center"/>
    </xf>
    <xf numFmtId="169" fontId="42" fillId="0" borderId="14" xfId="2" applyNumberFormat="1" applyFont="1" applyBorder="1" applyAlignment="1">
      <alignment horizontal="center" vertical="center"/>
    </xf>
    <xf numFmtId="2" fontId="42" fillId="0" borderId="14" xfId="2" applyNumberFormat="1" applyFont="1" applyBorder="1" applyAlignment="1">
      <alignment horizontal="center" vertical="center"/>
    </xf>
    <xf numFmtId="169" fontId="42" fillId="0" borderId="5" xfId="2" applyNumberFormat="1" applyFont="1" applyBorder="1" applyAlignment="1">
      <alignment horizontal="center" vertical="center"/>
    </xf>
    <xf numFmtId="169" fontId="42" fillId="0" borderId="5" xfId="2" applyNumberFormat="1" applyFont="1" applyFill="1" applyBorder="1" applyAlignment="1">
      <alignment horizontal="center" vertical="center"/>
    </xf>
    <xf numFmtId="169" fontId="42" fillId="0" borderId="14" xfId="2" applyNumberFormat="1" applyFont="1" applyFill="1" applyBorder="1" applyAlignment="1">
      <alignment horizontal="center" vertical="center"/>
    </xf>
    <xf numFmtId="0" fontId="41" fillId="9" borderId="1" xfId="0" applyFont="1" applyFill="1" applyBorder="1" applyAlignment="1">
      <alignment horizontal="center" vertical="center" wrapText="1"/>
    </xf>
    <xf numFmtId="168" fontId="42" fillId="0" borderId="10" xfId="2" applyNumberFormat="1" applyFont="1" applyFill="1" applyBorder="1" applyAlignment="1">
      <alignment horizontal="center" vertical="center"/>
    </xf>
    <xf numFmtId="0" fontId="2" fillId="0" borderId="10" xfId="0" applyFont="1" applyFill="1" applyBorder="1" applyAlignment="1">
      <alignment vertical="center"/>
    </xf>
    <xf numFmtId="9" fontId="41" fillId="9" borderId="1" xfId="0" applyNumberFormat="1" applyFont="1" applyFill="1" applyBorder="1" applyAlignment="1">
      <alignment horizontal="center" vertical="center" wrapText="1"/>
    </xf>
    <xf numFmtId="0" fontId="62" fillId="16" borderId="9" xfId="2" applyFont="1" applyFill="1" applyBorder="1" applyAlignment="1">
      <alignment horizontal="center" vertical="center" wrapText="1"/>
    </xf>
    <xf numFmtId="0" fontId="62" fillId="16" borderId="6" xfId="2" applyFont="1" applyFill="1" applyBorder="1" applyAlignment="1">
      <alignment horizontal="center" vertical="center" wrapText="1"/>
    </xf>
    <xf numFmtId="0" fontId="62" fillId="16" borderId="10" xfId="2" applyFont="1" applyFill="1" applyBorder="1" applyAlignment="1">
      <alignment horizontal="center" vertical="center" wrapText="1"/>
    </xf>
    <xf numFmtId="1" fontId="71" fillId="0" borderId="62" xfId="0" applyNumberFormat="1" applyFont="1" applyFill="1" applyBorder="1" applyAlignment="1">
      <alignment horizontal="left"/>
    </xf>
    <xf numFmtId="0" fontId="36" fillId="0" borderId="1" xfId="0" applyFont="1" applyBorder="1" applyAlignment="1">
      <alignment horizontal="left"/>
    </xf>
    <xf numFmtId="0" fontId="38" fillId="36" borderId="9" xfId="0" applyFont="1" applyFill="1" applyBorder="1" applyAlignment="1">
      <alignment vertical="center"/>
    </xf>
    <xf numFmtId="171" fontId="42" fillId="0" borderId="61" xfId="2" applyNumberFormat="1" applyFont="1" applyFill="1" applyBorder="1" applyAlignment="1">
      <alignment horizontal="center" vertical="center"/>
    </xf>
    <xf numFmtId="171" fontId="38" fillId="0" borderId="46" xfId="1" applyNumberFormat="1" applyFont="1" applyFill="1" applyBorder="1" applyAlignment="1">
      <alignment horizontal="center" vertical="center"/>
    </xf>
    <xf numFmtId="171" fontId="38" fillId="0" borderId="0" xfId="1" applyNumberFormat="1" applyFont="1" applyFill="1" applyBorder="1" applyAlignment="1">
      <alignment horizontal="center" vertical="center"/>
    </xf>
    <xf numFmtId="171" fontId="38" fillId="0" borderId="49" xfId="1" applyNumberFormat="1" applyFont="1" applyFill="1" applyBorder="1" applyAlignment="1">
      <alignment horizontal="center" vertical="center"/>
    </xf>
    <xf numFmtId="171" fontId="38" fillId="0" borderId="5" xfId="1" applyNumberFormat="1" applyFont="1" applyFill="1" applyBorder="1" applyAlignment="1">
      <alignment horizontal="center" vertical="center"/>
    </xf>
    <xf numFmtId="171" fontId="38" fillId="0" borderId="15" xfId="1" applyNumberFormat="1" applyFont="1" applyFill="1" applyBorder="1" applyAlignment="1">
      <alignment horizontal="center" vertical="center"/>
    </xf>
    <xf numFmtId="171" fontId="42" fillId="0" borderId="6" xfId="2" applyNumberFormat="1" applyFont="1" applyFill="1" applyBorder="1" applyAlignment="1">
      <alignment horizontal="center" vertical="center"/>
    </xf>
    <xf numFmtId="171" fontId="62" fillId="0" borderId="6" xfId="2" applyNumberFormat="1" applyFont="1" applyFill="1" applyBorder="1" applyAlignment="1">
      <alignment horizontal="center" vertical="center"/>
    </xf>
    <xf numFmtId="165" fontId="42" fillId="0" borderId="17" xfId="1" applyNumberFormat="1" applyFont="1" applyFill="1" applyBorder="1" applyAlignment="1">
      <alignment horizontal="center" vertical="center"/>
    </xf>
    <xf numFmtId="165" fontId="42" fillId="0" borderId="22" xfId="1" applyNumberFormat="1" applyFont="1" applyFill="1" applyBorder="1" applyAlignment="1">
      <alignment horizontal="center" vertical="center"/>
    </xf>
    <xf numFmtId="165" fontId="42" fillId="0" borderId="50" xfId="1" applyNumberFormat="1" applyFont="1" applyFill="1" applyBorder="1" applyAlignment="1">
      <alignment horizontal="center" vertical="center"/>
    </xf>
    <xf numFmtId="165" fontId="42" fillId="0" borderId="47" xfId="1" applyNumberFormat="1" applyFont="1" applyFill="1" applyBorder="1" applyAlignment="1">
      <alignment horizontal="center" vertical="center"/>
    </xf>
    <xf numFmtId="165" fontId="38" fillId="0" borderId="47" xfId="1" applyNumberFormat="1" applyFont="1" applyFill="1" applyBorder="1" applyAlignment="1">
      <alignment horizontal="center" vertical="center"/>
    </xf>
    <xf numFmtId="165" fontId="38" fillId="0" borderId="22" xfId="1" applyNumberFormat="1" applyFont="1" applyFill="1" applyBorder="1" applyAlignment="1">
      <alignment horizontal="center" vertical="center"/>
    </xf>
    <xf numFmtId="165" fontId="38" fillId="0" borderId="50" xfId="1" applyNumberFormat="1" applyFont="1" applyFill="1" applyBorder="1" applyAlignment="1">
      <alignment horizontal="center" vertical="center"/>
    </xf>
    <xf numFmtId="165" fontId="38" fillId="0" borderId="14" xfId="1" applyNumberFormat="1" applyFont="1" applyFill="1" applyBorder="1" applyAlignment="1">
      <alignment horizontal="center" vertical="center"/>
    </xf>
    <xf numFmtId="165" fontId="38" fillId="0" borderId="17" xfId="1" applyNumberFormat="1" applyFont="1" applyFill="1" applyBorder="1" applyAlignment="1">
      <alignment horizontal="center" vertical="center"/>
    </xf>
    <xf numFmtId="165" fontId="62" fillId="0" borderId="10" xfId="1" applyNumberFormat="1" applyFont="1" applyFill="1" applyBorder="1" applyAlignment="1">
      <alignment horizontal="center" vertical="center"/>
    </xf>
    <xf numFmtId="0" fontId="89" fillId="0" borderId="0" xfId="0" applyFont="1" applyFill="1" applyAlignment="1">
      <alignment vertical="center"/>
    </xf>
    <xf numFmtId="0" fontId="91" fillId="17" borderId="0" xfId="0" applyFont="1" applyFill="1" applyBorder="1" applyAlignment="1">
      <alignment wrapText="1"/>
    </xf>
    <xf numFmtId="11" fontId="34" fillId="6" borderId="0" xfId="0" applyNumberFormat="1" applyFont="1" applyFill="1" applyBorder="1" applyAlignment="1">
      <alignment vertical="center"/>
    </xf>
    <xf numFmtId="0" fontId="34" fillId="6" borderId="0" xfId="0" applyNumberFormat="1" applyFont="1" applyFill="1" applyBorder="1" applyAlignment="1">
      <alignment vertical="center"/>
    </xf>
    <xf numFmtId="0" fontId="41" fillId="6" borderId="0" xfId="0" applyNumberFormat="1" applyFont="1" applyFill="1" applyBorder="1" applyAlignment="1">
      <alignment horizontal="right"/>
    </xf>
    <xf numFmtId="0" fontId="17" fillId="0" borderId="0" xfId="0" applyFont="1" applyFill="1" applyAlignment="1">
      <alignment horizontal="left" vertical="center" wrapText="1"/>
    </xf>
    <xf numFmtId="0" fontId="66" fillId="0" borderId="0" xfId="0" applyFont="1" applyFill="1" applyAlignment="1">
      <alignment vertical="center"/>
    </xf>
    <xf numFmtId="0" fontId="45" fillId="0" borderId="0" xfId="0" applyFont="1" applyFill="1"/>
    <xf numFmtId="0" fontId="38" fillId="0" borderId="0" xfId="0" applyFont="1" applyFill="1"/>
    <xf numFmtId="0" fontId="41" fillId="9" borderId="1" xfId="0" applyFont="1" applyFill="1" applyBorder="1" applyAlignment="1">
      <alignment horizontal="center" vertical="center" wrapText="1"/>
    </xf>
    <xf numFmtId="167" fontId="118" fillId="37" borderId="1" xfId="0" applyNumberFormat="1" applyFont="1" applyFill="1" applyBorder="1" applyAlignment="1">
      <alignment horizontal="right" vertical="center"/>
    </xf>
    <xf numFmtId="0" fontId="47" fillId="0" borderId="24" xfId="0" applyFont="1" applyFill="1" applyBorder="1" applyAlignment="1">
      <alignment horizontal="left" vertical="center" wrapText="1"/>
    </xf>
    <xf numFmtId="0" fontId="47" fillId="0" borderId="23" xfId="0" applyFont="1" applyFill="1" applyBorder="1" applyAlignment="1">
      <alignment horizontal="left" vertical="center"/>
    </xf>
    <xf numFmtId="0" fontId="72" fillId="15" borderId="0" xfId="0" applyFont="1" applyFill="1" applyBorder="1" applyAlignment="1">
      <alignment horizontal="center" vertical="center" wrapText="1"/>
    </xf>
    <xf numFmtId="0" fontId="41" fillId="9" borderId="9" xfId="0" applyFont="1" applyFill="1" applyBorder="1" applyAlignment="1">
      <alignment horizontal="center" vertical="center"/>
    </xf>
    <xf numFmtId="0" fontId="41" fillId="9" borderId="6" xfId="0" applyFont="1" applyFill="1" applyBorder="1" applyAlignment="1">
      <alignment horizontal="center" vertical="center"/>
    </xf>
    <xf numFmtId="0" fontId="61" fillId="0" borderId="29" xfId="0" applyFont="1" applyFill="1" applyBorder="1" applyAlignment="1">
      <alignment horizontal="left" vertical="center"/>
    </xf>
    <xf numFmtId="0" fontId="61" fillId="0" borderId="30" xfId="0" applyFont="1" applyFill="1" applyBorder="1" applyAlignment="1">
      <alignment horizontal="left" vertical="center"/>
    </xf>
    <xf numFmtId="1" fontId="36" fillId="25" borderId="9" xfId="2" applyNumberFormat="1" applyFont="1" applyFill="1" applyBorder="1" applyAlignment="1">
      <alignment horizontal="center" vertical="center"/>
    </xf>
    <xf numFmtId="1" fontId="36" fillId="25" borderId="6" xfId="2" applyNumberFormat="1" applyFont="1" applyFill="1" applyBorder="1" applyAlignment="1">
      <alignment horizontal="center" vertical="center"/>
    </xf>
    <xf numFmtId="1" fontId="62" fillId="25" borderId="9" xfId="0" applyNumberFormat="1" applyFont="1" applyFill="1"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62" fillId="16" borderId="9" xfId="2" applyFont="1" applyFill="1" applyBorder="1" applyAlignment="1">
      <alignment horizontal="center" vertical="center" wrapText="1"/>
    </xf>
    <xf numFmtId="0" fontId="62" fillId="16" borderId="6" xfId="2" applyFont="1" applyFill="1" applyBorder="1" applyAlignment="1">
      <alignment horizontal="center" vertical="center" wrapText="1"/>
    </xf>
    <xf numFmtId="0" fontId="62" fillId="16" borderId="10" xfId="2" applyFont="1" applyFill="1" applyBorder="1" applyAlignment="1">
      <alignment horizontal="center" vertical="center" wrapText="1"/>
    </xf>
    <xf numFmtId="1" fontId="67" fillId="11" borderId="9" xfId="0" applyNumberFormat="1" applyFont="1" applyFill="1" applyBorder="1" applyAlignment="1">
      <alignment horizontal="center" vertical="center" wrapText="1"/>
    </xf>
    <xf numFmtId="1" fontId="67" fillId="11" borderId="6" xfId="0" applyNumberFormat="1" applyFont="1" applyFill="1" applyBorder="1" applyAlignment="1">
      <alignment horizontal="center" vertical="center" wrapText="1"/>
    </xf>
    <xf numFmtId="1" fontId="67" fillId="11" borderId="10" xfId="0" applyNumberFormat="1" applyFont="1" applyFill="1" applyBorder="1" applyAlignment="1">
      <alignment horizontal="center" vertical="center" wrapText="1"/>
    </xf>
    <xf numFmtId="1" fontId="36" fillId="16" borderId="9" xfId="0" applyNumberFormat="1" applyFont="1" applyFill="1" applyBorder="1" applyAlignment="1">
      <alignment horizontal="center" vertical="center"/>
    </xf>
    <xf numFmtId="1" fontId="36" fillId="16" borderId="6" xfId="0" applyNumberFormat="1" applyFont="1" applyFill="1" applyBorder="1" applyAlignment="1">
      <alignment horizontal="center" vertical="center"/>
    </xf>
    <xf numFmtId="1" fontId="36" fillId="16" borderId="10" xfId="0" applyNumberFormat="1" applyFont="1" applyFill="1" applyBorder="1" applyAlignment="1">
      <alignment horizontal="center" vertical="center"/>
    </xf>
    <xf numFmtId="1" fontId="36" fillId="25" borderId="10" xfId="2" applyNumberFormat="1" applyFont="1" applyFill="1" applyBorder="1" applyAlignment="1">
      <alignment horizontal="center" vertical="center"/>
    </xf>
    <xf numFmtId="0" fontId="36" fillId="25" borderId="9" xfId="2" applyFont="1" applyFill="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1" fontId="62" fillId="25" borderId="1" xfId="0" applyNumberFormat="1" applyFont="1" applyFill="1" applyBorder="1" applyAlignment="1">
      <alignment horizontal="center" vertical="center"/>
    </xf>
    <xf numFmtId="0" fontId="62" fillId="25" borderId="1" xfId="0" applyFont="1" applyFill="1" applyBorder="1" applyAlignment="1">
      <alignment horizontal="center" vertical="center"/>
    </xf>
    <xf numFmtId="1" fontId="62" fillId="25" borderId="6" xfId="0" applyNumberFormat="1" applyFont="1" applyFill="1" applyBorder="1" applyAlignment="1">
      <alignment horizontal="center" vertical="center" wrapText="1"/>
    </xf>
    <xf numFmtId="1" fontId="62" fillId="25" borderId="10" xfId="0" applyNumberFormat="1" applyFont="1" applyFill="1" applyBorder="1" applyAlignment="1">
      <alignment horizontal="center" vertical="center" wrapText="1"/>
    </xf>
    <xf numFmtId="1" fontId="62" fillId="16" borderId="1" xfId="0" applyNumberFormat="1" applyFont="1" applyFill="1" applyBorder="1" applyAlignment="1">
      <alignment horizontal="center" vertical="center" wrapText="1"/>
    </xf>
    <xf numFmtId="0" fontId="72" fillId="11" borderId="0" xfId="2" applyFont="1" applyFill="1" applyBorder="1" applyAlignment="1">
      <alignment horizontal="center" vertical="center"/>
    </xf>
    <xf numFmtId="0" fontId="0" fillId="0" borderId="0" xfId="0" applyAlignment="1">
      <alignment horizontal="center" vertical="center"/>
    </xf>
    <xf numFmtId="0" fontId="43" fillId="0" borderId="25" xfId="0" applyFont="1" applyFill="1" applyBorder="1" applyAlignment="1">
      <alignment horizontal="left" vertical="center" wrapText="1"/>
    </xf>
    <xf numFmtId="0" fontId="43" fillId="0" borderId="26" xfId="0" applyFont="1" applyFill="1" applyBorder="1" applyAlignment="1">
      <alignment horizontal="left" vertical="center"/>
    </xf>
    <xf numFmtId="0" fontId="36" fillId="25" borderId="9" xfId="0" applyFont="1" applyFill="1" applyBorder="1" applyAlignment="1">
      <alignment horizontal="center" vertical="center"/>
    </xf>
    <xf numFmtId="0" fontId="36" fillId="25" borderId="10" xfId="0" applyFont="1" applyFill="1" applyBorder="1" applyAlignment="1">
      <alignment horizontal="center" vertical="center"/>
    </xf>
    <xf numFmtId="0" fontId="57" fillId="0" borderId="31" xfId="0" applyFont="1" applyFill="1" applyBorder="1" applyAlignment="1">
      <alignment horizontal="left" vertical="center" wrapText="1"/>
    </xf>
    <xf numFmtId="0" fontId="57" fillId="0" borderId="32" xfId="0" applyFont="1" applyFill="1" applyBorder="1" applyAlignment="1">
      <alignment horizontal="left" vertical="center"/>
    </xf>
    <xf numFmtId="0" fontId="54" fillId="0" borderId="27" xfId="0" applyFont="1" applyFill="1" applyBorder="1" applyAlignment="1">
      <alignment horizontal="left" vertical="center" wrapText="1"/>
    </xf>
    <xf numFmtId="0" fontId="54" fillId="0" borderId="28" xfId="0" applyFont="1" applyFill="1" applyBorder="1" applyAlignment="1">
      <alignment horizontal="left" vertical="center"/>
    </xf>
    <xf numFmtId="0" fontId="72" fillId="11" borderId="0" xfId="2" applyFont="1" applyFill="1" applyBorder="1" applyAlignment="1">
      <alignment horizontal="center" vertical="center" wrapText="1"/>
    </xf>
    <xf numFmtId="0" fontId="0" fillId="0" borderId="0" xfId="0" applyAlignment="1">
      <alignment horizontal="center" vertical="center" wrapText="1"/>
    </xf>
    <xf numFmtId="0" fontId="0" fillId="0" borderId="26" xfId="0" applyBorder="1" applyAlignment="1">
      <alignment horizontal="left" vertical="center"/>
    </xf>
    <xf numFmtId="0" fontId="73" fillId="6" borderId="0" xfId="2" applyFont="1" applyFill="1" applyBorder="1" applyAlignment="1">
      <alignment horizontal="center" vertical="center"/>
    </xf>
    <xf numFmtId="1" fontId="62" fillId="25" borderId="9" xfId="0" applyNumberFormat="1" applyFont="1" applyFill="1" applyBorder="1" applyAlignment="1">
      <alignment horizontal="center" vertical="center"/>
    </xf>
    <xf numFmtId="1" fontId="62" fillId="25" borderId="6" xfId="0" applyNumberFormat="1" applyFont="1" applyFill="1" applyBorder="1" applyAlignment="1">
      <alignment horizontal="center" vertical="center"/>
    </xf>
    <xf numFmtId="1" fontId="62" fillId="25" borderId="10" xfId="0" applyNumberFormat="1" applyFont="1" applyFill="1" applyBorder="1" applyAlignment="1">
      <alignment horizontal="center" vertical="center"/>
    </xf>
    <xf numFmtId="0" fontId="62" fillId="6" borderId="1" xfId="2" applyFont="1" applyFill="1" applyBorder="1" applyAlignment="1">
      <alignment horizontal="center" vertical="center" wrapText="1"/>
    </xf>
    <xf numFmtId="0" fontId="36" fillId="25" borderId="2" xfId="0" applyFont="1" applyFill="1" applyBorder="1" applyAlignment="1">
      <alignment horizontal="center" vertical="center" wrapText="1"/>
    </xf>
    <xf numFmtId="0" fontId="36" fillId="25" borderId="4" xfId="0" applyFont="1" applyFill="1" applyBorder="1" applyAlignment="1">
      <alignment horizontal="center" vertical="center" wrapText="1"/>
    </xf>
    <xf numFmtId="0" fontId="36" fillId="25" borderId="6" xfId="2" applyFont="1" applyFill="1" applyBorder="1" applyAlignment="1">
      <alignment horizontal="center" vertical="center"/>
    </xf>
    <xf numFmtId="0" fontId="36" fillId="25" borderId="10" xfId="2" applyFont="1" applyFill="1" applyBorder="1" applyAlignment="1">
      <alignment horizontal="center" vertical="center"/>
    </xf>
    <xf numFmtId="1" fontId="62" fillId="25" borderId="9" xfId="2" applyNumberFormat="1" applyFont="1" applyFill="1" applyBorder="1" applyAlignment="1">
      <alignment horizontal="center" vertical="center"/>
    </xf>
    <xf numFmtId="0" fontId="67" fillId="13" borderId="9" xfId="0" applyFont="1" applyFill="1" applyBorder="1" applyAlignment="1">
      <alignment horizontal="center" vertical="center"/>
    </xf>
    <xf numFmtId="0" fontId="67" fillId="13" borderId="10" xfId="0" applyFont="1" applyFill="1" applyBorder="1" applyAlignment="1">
      <alignment horizontal="center" vertical="center"/>
    </xf>
    <xf numFmtId="0" fontId="67" fillId="13" borderId="2" xfId="0" applyFont="1" applyFill="1" applyBorder="1" applyAlignment="1">
      <alignment horizontal="center" vertical="center" wrapText="1"/>
    </xf>
    <xf numFmtId="0" fontId="67" fillId="13" borderId="4" xfId="0" applyFont="1" applyFill="1" applyBorder="1" applyAlignment="1">
      <alignment horizontal="center" vertical="center" wrapText="1"/>
    </xf>
    <xf numFmtId="1" fontId="36" fillId="6" borderId="1" xfId="2" applyNumberFormat="1" applyFont="1" applyFill="1" applyBorder="1" applyAlignment="1">
      <alignment horizontal="center" vertical="center"/>
    </xf>
    <xf numFmtId="0" fontId="77" fillId="16" borderId="0" xfId="2" applyFont="1" applyFill="1" applyBorder="1" applyAlignment="1">
      <alignment horizontal="center" vertical="center" wrapText="1"/>
    </xf>
    <xf numFmtId="1" fontId="62" fillId="25" borderId="6" xfId="2" applyNumberFormat="1" applyFont="1" applyFill="1" applyBorder="1" applyAlignment="1">
      <alignment horizontal="center" vertical="center"/>
    </xf>
    <xf numFmtId="0" fontId="62" fillId="16" borderId="1" xfId="2" applyFont="1" applyFill="1" applyBorder="1" applyAlignment="1">
      <alignment horizontal="center" vertical="center" wrapText="1"/>
    </xf>
    <xf numFmtId="1" fontId="62" fillId="6" borderId="9" xfId="0" applyNumberFormat="1" applyFont="1" applyFill="1" applyBorder="1" applyAlignment="1">
      <alignment horizontal="center" vertical="center"/>
    </xf>
    <xf numFmtId="1" fontId="62" fillId="6" borderId="6" xfId="0" applyNumberFormat="1" applyFont="1" applyFill="1" applyBorder="1" applyAlignment="1">
      <alignment horizontal="center" vertical="center"/>
    </xf>
    <xf numFmtId="1" fontId="62" fillId="6" borderId="10" xfId="0" applyNumberFormat="1" applyFont="1" applyFill="1" applyBorder="1" applyAlignment="1">
      <alignment horizontal="center" vertical="center"/>
    </xf>
    <xf numFmtId="0" fontId="73" fillId="16" borderId="0" xfId="2" applyFont="1" applyFill="1" applyBorder="1" applyAlignment="1">
      <alignment horizontal="center" vertical="center"/>
    </xf>
    <xf numFmtId="0" fontId="73" fillId="16" borderId="0" xfId="2" applyFont="1" applyFill="1" applyBorder="1" applyAlignment="1">
      <alignment horizontal="center" vertical="center" wrapText="1"/>
    </xf>
    <xf numFmtId="0" fontId="73" fillId="16" borderId="0" xfId="0" applyFont="1" applyFill="1" applyBorder="1" applyAlignment="1">
      <alignment horizontal="center" vertical="center"/>
    </xf>
    <xf numFmtId="1" fontId="62" fillId="25" borderId="10" xfId="2" applyNumberFormat="1" applyFont="1" applyFill="1" applyBorder="1" applyAlignment="1">
      <alignment horizontal="center" vertical="center"/>
    </xf>
    <xf numFmtId="1" fontId="62" fillId="16" borderId="9" xfId="2" applyNumberFormat="1" applyFont="1" applyFill="1" applyBorder="1" applyAlignment="1">
      <alignment horizontal="center" vertical="center"/>
    </xf>
    <xf numFmtId="1" fontId="62" fillId="16" borderId="6" xfId="2" applyNumberFormat="1" applyFont="1" applyFill="1" applyBorder="1" applyAlignment="1">
      <alignment horizontal="center" vertical="center"/>
    </xf>
    <xf numFmtId="1" fontId="62" fillId="16" borderId="10" xfId="2" applyNumberFormat="1" applyFont="1" applyFill="1" applyBorder="1" applyAlignment="1">
      <alignment horizontal="center" vertical="center"/>
    </xf>
    <xf numFmtId="1" fontId="36" fillId="6" borderId="9" xfId="2" applyNumberFormat="1" applyFont="1" applyFill="1" applyBorder="1" applyAlignment="1">
      <alignment horizontal="center" vertical="center"/>
    </xf>
    <xf numFmtId="1" fontId="36" fillId="6" borderId="6" xfId="2" applyNumberFormat="1" applyFont="1" applyFill="1" applyBorder="1" applyAlignment="1">
      <alignment horizontal="center" vertical="center"/>
    </xf>
    <xf numFmtId="1" fontId="36" fillId="6" borderId="10" xfId="2" applyNumberFormat="1" applyFont="1" applyFill="1" applyBorder="1" applyAlignment="1">
      <alignment horizontal="center" vertical="center"/>
    </xf>
    <xf numFmtId="0" fontId="83" fillId="0" borderId="0" xfId="0" applyFont="1" applyBorder="1" applyAlignment="1">
      <alignment horizontal="left" vertical="center" wrapText="1"/>
    </xf>
    <xf numFmtId="0" fontId="67" fillId="11" borderId="9" xfId="2" applyFont="1" applyFill="1" applyBorder="1" applyAlignment="1">
      <alignment horizontal="center" vertical="center"/>
    </xf>
    <xf numFmtId="0" fontId="0" fillId="0" borderId="28" xfId="0" applyBorder="1" applyAlignment="1">
      <alignment horizontal="left" vertical="center"/>
    </xf>
    <xf numFmtId="0" fontId="73" fillId="6" borderId="0" xfId="2" applyFont="1" applyFill="1" applyBorder="1" applyAlignment="1">
      <alignment horizontal="center" vertical="center" wrapText="1"/>
    </xf>
    <xf numFmtId="0" fontId="0" fillId="0" borderId="1" xfId="0" applyBorder="1" applyAlignment="1">
      <alignment horizontal="center" vertical="center"/>
    </xf>
    <xf numFmtId="0" fontId="62" fillId="25" borderId="9" xfId="0" applyFont="1" applyFill="1" applyBorder="1" applyAlignment="1">
      <alignment horizontal="center" vertical="center" wrapText="1"/>
    </xf>
    <xf numFmtId="0" fontId="62" fillId="25" borderId="6" xfId="0" applyFont="1" applyFill="1" applyBorder="1" applyAlignment="1">
      <alignment horizontal="center" vertical="center" wrapText="1"/>
    </xf>
    <xf numFmtId="0" fontId="62" fillId="25" borderId="10" xfId="0" applyFont="1" applyFill="1" applyBorder="1" applyAlignment="1">
      <alignment horizontal="center" vertical="center" wrapText="1"/>
    </xf>
    <xf numFmtId="0" fontId="72" fillId="7" borderId="0" xfId="2" applyFont="1" applyFill="1" applyBorder="1" applyAlignment="1">
      <alignment horizontal="center" vertical="center"/>
    </xf>
    <xf numFmtId="0" fontId="72" fillId="7" borderId="0" xfId="2" applyFont="1" applyFill="1" applyBorder="1" applyAlignment="1">
      <alignment horizontal="center" vertical="center" wrapText="1"/>
    </xf>
    <xf numFmtId="0" fontId="62" fillId="25" borderId="1" xfId="0" applyFont="1" applyFill="1" applyBorder="1" applyAlignment="1">
      <alignment horizontal="center" vertical="center" wrapText="1"/>
    </xf>
    <xf numFmtId="0" fontId="0" fillId="0" borderId="1" xfId="0" applyBorder="1" applyAlignment="1">
      <alignment horizontal="center" vertical="center" wrapText="1"/>
    </xf>
    <xf numFmtId="0" fontId="67" fillId="11" borderId="6" xfId="2" applyFont="1" applyFill="1" applyBorder="1" applyAlignment="1">
      <alignment horizontal="center" vertical="center"/>
    </xf>
    <xf numFmtId="0" fontId="67" fillId="11" borderId="10" xfId="2" applyFont="1" applyFill="1" applyBorder="1" applyAlignment="1">
      <alignment horizontal="center" vertical="center"/>
    </xf>
    <xf numFmtId="0" fontId="36" fillId="15" borderId="9" xfId="0" applyFont="1" applyFill="1" applyBorder="1" applyAlignment="1">
      <alignment horizontal="center" vertical="center" wrapText="1"/>
    </xf>
    <xf numFmtId="0" fontId="36" fillId="15" borderId="6" xfId="0" applyFont="1" applyFill="1" applyBorder="1" applyAlignment="1">
      <alignment horizontal="center" vertical="center" wrapText="1"/>
    </xf>
    <xf numFmtId="0" fontId="36" fillId="15" borderId="10" xfId="0" applyFont="1" applyFill="1" applyBorder="1" applyAlignment="1">
      <alignment horizontal="center" vertical="center" wrapText="1"/>
    </xf>
    <xf numFmtId="0" fontId="77" fillId="15" borderId="0" xfId="0" quotePrefix="1" applyFont="1" applyFill="1" applyBorder="1" applyAlignment="1">
      <alignment horizontal="center" vertical="center"/>
    </xf>
    <xf numFmtId="0" fontId="77" fillId="15" borderId="0" xfId="0" applyFont="1" applyFill="1" applyBorder="1" applyAlignment="1">
      <alignment horizontal="center" vertical="center"/>
    </xf>
    <xf numFmtId="0" fontId="67" fillId="13" borderId="6" xfId="0" applyFont="1" applyFill="1" applyBorder="1" applyAlignment="1">
      <alignment horizontal="center" vertical="center"/>
    </xf>
    <xf numFmtId="0" fontId="72" fillId="13" borderId="0" xfId="2" applyFont="1" applyFill="1" applyBorder="1" applyAlignment="1">
      <alignment horizontal="center" vertical="center" wrapText="1"/>
    </xf>
    <xf numFmtId="1" fontId="36" fillId="25" borderId="9" xfId="0" applyNumberFormat="1" applyFont="1" applyFill="1" applyBorder="1" applyAlignment="1">
      <alignment horizontal="center" vertical="center"/>
    </xf>
    <xf numFmtId="0" fontId="36" fillId="25" borderId="6" xfId="0" applyFont="1" applyFill="1" applyBorder="1" applyAlignment="1">
      <alignment horizontal="center" vertical="center"/>
    </xf>
    <xf numFmtId="1" fontId="67" fillId="13" borderId="9" xfId="0" applyNumberFormat="1" applyFont="1" applyFill="1" applyBorder="1" applyAlignment="1">
      <alignment horizontal="center" vertical="center" wrapText="1"/>
    </xf>
    <xf numFmtId="1" fontId="67" fillId="13" borderId="6" xfId="0" applyNumberFormat="1" applyFont="1" applyFill="1" applyBorder="1" applyAlignment="1">
      <alignment horizontal="center" vertical="center" wrapText="1"/>
    </xf>
    <xf numFmtId="1" fontId="67" fillId="13" borderId="10" xfId="0" applyNumberFormat="1" applyFont="1" applyFill="1" applyBorder="1" applyAlignment="1">
      <alignment horizontal="center" vertical="center" wrapText="1"/>
    </xf>
    <xf numFmtId="1" fontId="62" fillId="25" borderId="1" xfId="2" applyNumberFormat="1" applyFont="1" applyFill="1" applyBorder="1" applyAlignment="1">
      <alignment horizontal="center" vertical="center"/>
    </xf>
    <xf numFmtId="0" fontId="62" fillId="25" borderId="1" xfId="2" applyFont="1" applyFill="1" applyBorder="1" applyAlignment="1">
      <alignment horizontal="center" vertical="center"/>
    </xf>
    <xf numFmtId="1" fontId="67" fillId="13" borderId="9" xfId="2" applyNumberFormat="1" applyFont="1" applyFill="1" applyBorder="1" applyAlignment="1">
      <alignment horizontal="center" vertical="center"/>
    </xf>
    <xf numFmtId="0" fontId="67" fillId="13" borderId="6" xfId="2" applyFont="1" applyFill="1" applyBorder="1" applyAlignment="1">
      <alignment horizontal="center" vertical="center"/>
    </xf>
    <xf numFmtId="0" fontId="67" fillId="13" borderId="10" xfId="2" applyFont="1" applyFill="1" applyBorder="1" applyAlignment="1">
      <alignment horizontal="center" vertical="center"/>
    </xf>
    <xf numFmtId="1" fontId="67" fillId="7" borderId="9" xfId="0" applyNumberFormat="1" applyFont="1" applyFill="1" applyBorder="1" applyAlignment="1">
      <alignment horizontal="center" vertical="center"/>
    </xf>
    <xf numFmtId="0" fontId="67" fillId="7" borderId="6" xfId="0" applyFont="1" applyFill="1" applyBorder="1" applyAlignment="1">
      <alignment horizontal="center" vertical="center"/>
    </xf>
    <xf numFmtId="0" fontId="67" fillId="7" borderId="10" xfId="0" applyFont="1" applyFill="1" applyBorder="1" applyAlignment="1">
      <alignment horizontal="center" vertical="center"/>
    </xf>
    <xf numFmtId="0" fontId="58" fillId="0" borderId="24" xfId="0" applyFont="1" applyFill="1" applyBorder="1" applyAlignment="1">
      <alignment horizontal="left" vertical="center" wrapText="1"/>
    </xf>
    <xf numFmtId="0" fontId="58" fillId="0" borderId="23" xfId="0" applyFont="1" applyFill="1" applyBorder="1" applyAlignment="1">
      <alignment horizontal="left" vertical="center"/>
    </xf>
    <xf numFmtId="0" fontId="48" fillId="0" borderId="33" xfId="0" applyFont="1" applyFill="1" applyBorder="1" applyAlignment="1">
      <alignment horizontal="left" vertical="center" wrapText="1"/>
    </xf>
    <xf numFmtId="0" fontId="48" fillId="0" borderId="34" xfId="0" applyFont="1" applyFill="1" applyBorder="1" applyAlignment="1">
      <alignment horizontal="left" vertical="center"/>
    </xf>
    <xf numFmtId="0" fontId="0" fillId="0" borderId="0" xfId="0" applyAlignment="1">
      <alignment vertical="center" wrapText="1"/>
    </xf>
    <xf numFmtId="1" fontId="67" fillId="11" borderId="1" xfId="0" applyNumberFormat="1" applyFont="1" applyFill="1" applyBorder="1" applyAlignment="1">
      <alignment horizontal="center" vertical="center"/>
    </xf>
    <xf numFmtId="0" fontId="67" fillId="11" borderId="1" xfId="0" applyFont="1" applyFill="1" applyBorder="1" applyAlignment="1">
      <alignment horizontal="center" vertical="center"/>
    </xf>
    <xf numFmtId="0" fontId="62" fillId="6" borderId="9" xfId="2" applyFont="1" applyFill="1" applyBorder="1" applyAlignment="1">
      <alignment horizontal="center" vertical="center" wrapText="1"/>
    </xf>
    <xf numFmtId="0" fontId="62" fillId="6" borderId="10" xfId="2" applyFont="1" applyFill="1" applyBorder="1" applyAlignment="1">
      <alignment horizontal="center" vertical="center" wrapText="1"/>
    </xf>
    <xf numFmtId="0" fontId="72" fillId="22" borderId="0" xfId="2" applyFont="1" applyFill="1" applyBorder="1" applyAlignment="1">
      <alignment horizontal="center" vertical="center" wrapText="1"/>
    </xf>
    <xf numFmtId="0" fontId="62" fillId="22" borderId="1" xfId="2" applyFont="1" applyFill="1" applyBorder="1" applyAlignment="1">
      <alignment horizontal="center" vertical="center" wrapText="1"/>
    </xf>
    <xf numFmtId="1" fontId="36" fillId="22" borderId="9" xfId="0" applyNumberFormat="1" applyFont="1" applyFill="1" applyBorder="1" applyAlignment="1">
      <alignment horizontal="center" vertical="center"/>
    </xf>
    <xf numFmtId="1" fontId="36" fillId="22" borderId="6" xfId="0" applyNumberFormat="1" applyFont="1" applyFill="1" applyBorder="1" applyAlignment="1">
      <alignment horizontal="center" vertical="center"/>
    </xf>
    <xf numFmtId="1" fontId="36" fillId="22" borderId="10" xfId="0" applyNumberFormat="1" applyFont="1" applyFill="1" applyBorder="1" applyAlignment="1">
      <alignment horizontal="center" vertical="center"/>
    </xf>
    <xf numFmtId="1" fontId="62" fillId="22" borderId="9" xfId="0" applyNumberFormat="1" applyFont="1" applyFill="1" applyBorder="1" applyAlignment="1">
      <alignment horizontal="center" vertical="center"/>
    </xf>
    <xf numFmtId="1" fontId="62" fillId="22" borderId="6" xfId="0" applyNumberFormat="1" applyFont="1" applyFill="1" applyBorder="1" applyAlignment="1">
      <alignment horizontal="center" vertical="center"/>
    </xf>
    <xf numFmtId="1" fontId="62" fillId="22" borderId="10" xfId="0" applyNumberFormat="1" applyFont="1" applyFill="1" applyBorder="1" applyAlignment="1">
      <alignment horizontal="center" vertical="center"/>
    </xf>
    <xf numFmtId="1" fontId="62" fillId="16" borderId="9" xfId="0" applyNumberFormat="1" applyFont="1" applyFill="1" applyBorder="1" applyAlignment="1">
      <alignment horizontal="center" vertical="center" wrapText="1"/>
    </xf>
    <xf numFmtId="1" fontId="62" fillId="16" borderId="6" xfId="0" applyNumberFormat="1" applyFont="1" applyFill="1" applyBorder="1" applyAlignment="1">
      <alignment horizontal="center" vertical="center" wrapText="1"/>
    </xf>
    <xf numFmtId="1" fontId="62" fillId="16" borderId="10" xfId="0" applyNumberFormat="1" applyFont="1" applyFill="1" applyBorder="1" applyAlignment="1">
      <alignment horizontal="center" vertical="center" wrapText="1"/>
    </xf>
    <xf numFmtId="1" fontId="67" fillId="3" borderId="0" xfId="0" applyNumberFormat="1" applyFont="1" applyFill="1" applyBorder="1" applyAlignment="1">
      <alignment horizontal="center" vertical="center"/>
    </xf>
    <xf numFmtId="0" fontId="77" fillId="6" borderId="0" xfId="2" applyFont="1" applyFill="1" applyBorder="1" applyAlignment="1">
      <alignment horizontal="center" vertical="center" wrapText="1"/>
    </xf>
    <xf numFmtId="1" fontId="62" fillId="25" borderId="9" xfId="2" applyNumberFormat="1" applyFont="1" applyFill="1" applyBorder="1" applyAlignment="1">
      <alignment horizontal="center" vertical="center" wrapText="1"/>
    </xf>
    <xf numFmtId="1" fontId="62" fillId="25" borderId="6" xfId="2" applyNumberFormat="1" applyFont="1" applyFill="1" applyBorder="1" applyAlignment="1">
      <alignment horizontal="center" vertical="center" wrapText="1"/>
    </xf>
    <xf numFmtId="1" fontId="62" fillId="25" borderId="10" xfId="2" applyNumberFormat="1" applyFont="1" applyFill="1" applyBorder="1" applyAlignment="1">
      <alignment horizontal="center" vertical="center" wrapText="1"/>
    </xf>
    <xf numFmtId="0" fontId="72" fillId="22" borderId="0" xfId="2" applyFont="1" applyFill="1" applyBorder="1" applyAlignment="1">
      <alignment horizontal="center" vertical="center"/>
    </xf>
    <xf numFmtId="0" fontId="67" fillId="22" borderId="1" xfId="2" applyFont="1" applyFill="1" applyBorder="1" applyAlignment="1">
      <alignment horizontal="center" vertical="center" wrapText="1"/>
    </xf>
    <xf numFmtId="0" fontId="67" fillId="22" borderId="9" xfId="0" applyFont="1" applyFill="1" applyBorder="1" applyAlignment="1">
      <alignment horizontal="center" vertical="center"/>
    </xf>
    <xf numFmtId="0" fontId="67" fillId="22" borderId="6" xfId="0" applyFont="1" applyFill="1" applyBorder="1" applyAlignment="1">
      <alignment horizontal="center" vertical="center"/>
    </xf>
    <xf numFmtId="0" fontId="67" fillId="22" borderId="10" xfId="0" applyFont="1" applyFill="1" applyBorder="1" applyAlignment="1">
      <alignment horizontal="center" vertical="center"/>
    </xf>
    <xf numFmtId="1" fontId="36" fillId="25" borderId="6" xfId="0" applyNumberFormat="1" applyFont="1" applyFill="1" applyBorder="1" applyAlignment="1">
      <alignment horizontal="center" vertical="center"/>
    </xf>
    <xf numFmtId="1" fontId="36" fillId="25" borderId="10" xfId="0" applyNumberFormat="1" applyFont="1" applyFill="1" applyBorder="1" applyAlignment="1">
      <alignment horizontal="center" vertical="center"/>
    </xf>
    <xf numFmtId="0" fontId="79" fillId="0" borderId="36" xfId="0" applyFont="1" applyFill="1" applyBorder="1" applyAlignment="1">
      <alignment horizontal="left" vertical="center" wrapText="1"/>
    </xf>
    <xf numFmtId="0" fontId="79" fillId="0" borderId="37" xfId="0" applyFont="1" applyFill="1" applyBorder="1" applyAlignment="1">
      <alignment horizontal="left" vertical="center"/>
    </xf>
    <xf numFmtId="0" fontId="62" fillId="25" borderId="9" xfId="2" applyFont="1" applyFill="1" applyBorder="1" applyAlignment="1">
      <alignment horizontal="center" vertical="center" wrapText="1"/>
    </xf>
    <xf numFmtId="0" fontId="62" fillId="25" borderId="10" xfId="2" applyFont="1" applyFill="1" applyBorder="1" applyAlignment="1">
      <alignment horizontal="center" vertical="center" wrapText="1"/>
    </xf>
    <xf numFmtId="0" fontId="65" fillId="4" borderId="2" xfId="0" applyFont="1" applyFill="1" applyBorder="1" applyAlignment="1">
      <alignment horizontal="left" vertical="center" wrapText="1"/>
    </xf>
    <xf numFmtId="0" fontId="65" fillId="4" borderId="4" xfId="0" applyFont="1" applyFill="1" applyBorder="1" applyAlignment="1">
      <alignment horizontal="left" vertical="center" wrapText="1"/>
    </xf>
    <xf numFmtId="1" fontId="92" fillId="9" borderId="38" xfId="0" applyNumberFormat="1" applyFont="1" applyFill="1" applyBorder="1" applyAlignment="1">
      <alignment horizontal="center" vertical="center"/>
    </xf>
    <xf numFmtId="0" fontId="92" fillId="9" borderId="1" xfId="0" applyFont="1" applyFill="1" applyBorder="1" applyAlignment="1">
      <alignment horizontal="center" vertical="center"/>
    </xf>
    <xf numFmtId="0" fontId="92" fillId="9" borderId="39" xfId="0" applyFont="1" applyFill="1" applyBorder="1" applyAlignment="1">
      <alignment horizontal="center" vertical="center"/>
    </xf>
    <xf numFmtId="0" fontId="65" fillId="4" borderId="7" xfId="0" applyFont="1" applyFill="1" applyBorder="1" applyAlignment="1">
      <alignment horizontal="left" vertical="center" wrapText="1"/>
    </xf>
    <xf numFmtId="0" fontId="65" fillId="4" borderId="8" xfId="0" applyFont="1" applyFill="1" applyBorder="1" applyAlignment="1">
      <alignment horizontal="left" vertical="center" wrapText="1"/>
    </xf>
    <xf numFmtId="1" fontId="92" fillId="14" borderId="10" xfId="0" applyNumberFormat="1" applyFont="1" applyFill="1" applyBorder="1" applyAlignment="1">
      <alignment horizontal="center" vertical="center"/>
    </xf>
    <xf numFmtId="0" fontId="92" fillId="14" borderId="1" xfId="0" applyFont="1" applyFill="1" applyBorder="1" applyAlignment="1">
      <alignment horizontal="center" vertical="center"/>
    </xf>
    <xf numFmtId="1" fontId="92" fillId="9" borderId="1" xfId="0" applyNumberFormat="1" applyFont="1" applyFill="1" applyBorder="1" applyAlignment="1">
      <alignment horizontal="center" vertical="center"/>
    </xf>
    <xf numFmtId="0" fontId="92" fillId="9" borderId="9" xfId="0" applyFont="1" applyFill="1" applyBorder="1" applyAlignment="1">
      <alignment horizontal="center" vertical="center"/>
    </xf>
    <xf numFmtId="0" fontId="65" fillId="4" borderId="18" xfId="0" applyFont="1" applyFill="1" applyBorder="1" applyAlignment="1">
      <alignment horizontal="left" vertical="center" wrapText="1"/>
    </xf>
    <xf numFmtId="0" fontId="65" fillId="28" borderId="7" xfId="0" applyFont="1" applyFill="1" applyBorder="1" applyAlignment="1">
      <alignment horizontal="left" vertical="center" wrapText="1"/>
    </xf>
    <xf numFmtId="0" fontId="65" fillId="28" borderId="8" xfId="0" applyFont="1" applyFill="1" applyBorder="1" applyAlignment="1">
      <alignment horizontal="left" vertical="center" wrapText="1"/>
    </xf>
    <xf numFmtId="0" fontId="96" fillId="43" borderId="0" xfId="0" applyFont="1" applyFill="1" applyAlignment="1">
      <alignment horizontal="left" vertical="center" wrapText="1"/>
    </xf>
    <xf numFmtId="0" fontId="67" fillId="13" borderId="0" xfId="0" applyFont="1" applyFill="1" applyAlignment="1">
      <alignment horizontal="left"/>
    </xf>
    <xf numFmtId="0" fontId="117" fillId="10" borderId="0" xfId="0" applyFont="1" applyFill="1" applyAlignment="1">
      <alignment horizontal="left" wrapText="1"/>
    </xf>
    <xf numFmtId="0" fontId="41" fillId="9" borderId="10" xfId="0" applyFont="1" applyFill="1" applyBorder="1" applyAlignment="1">
      <alignment horizontal="center" vertical="center"/>
    </xf>
    <xf numFmtId="0" fontId="38" fillId="8" borderId="9" xfId="0" applyFont="1" applyFill="1" applyBorder="1" applyAlignment="1">
      <alignment horizontal="center" vertical="center"/>
    </xf>
    <xf numFmtId="0" fontId="38" fillId="8" borderId="6" xfId="0" applyFont="1" applyFill="1" applyBorder="1" applyAlignment="1">
      <alignment horizontal="center" vertical="center"/>
    </xf>
    <xf numFmtId="0" fontId="38" fillId="8" borderId="10" xfId="0" applyFont="1" applyFill="1" applyBorder="1" applyAlignment="1">
      <alignment horizontal="center" vertical="center"/>
    </xf>
    <xf numFmtId="0" fontId="37" fillId="3" borderId="22" xfId="0" applyFont="1" applyFill="1" applyBorder="1" applyAlignment="1">
      <alignment horizontal="left" vertical="center" wrapText="1"/>
    </xf>
    <xf numFmtId="0" fontId="37" fillId="3" borderId="14" xfId="0" applyFont="1" applyFill="1" applyBorder="1" applyAlignment="1">
      <alignment horizontal="left" vertical="center" wrapText="1"/>
    </xf>
    <xf numFmtId="0" fontId="31" fillId="10" borderId="0" xfId="0" applyFont="1" applyFill="1" applyAlignment="1">
      <alignment horizontal="left" wrapText="1"/>
    </xf>
    <xf numFmtId="0" fontId="15" fillId="20" borderId="0" xfId="0" applyFont="1" applyFill="1" applyBorder="1" applyAlignment="1">
      <alignment horizontal="left"/>
    </xf>
    <xf numFmtId="0" fontId="90" fillId="20" borderId="0" xfId="0" applyFont="1" applyFill="1" applyAlignment="1">
      <alignment horizontal="left" vertical="center"/>
    </xf>
    <xf numFmtId="0" fontId="90" fillId="20" borderId="0" xfId="0" applyFont="1" applyFill="1" applyAlignment="1">
      <alignment horizontal="left" vertical="center" indent="1"/>
    </xf>
    <xf numFmtId="0" fontId="86" fillId="3" borderId="0" xfId="0" applyFont="1" applyFill="1" applyBorder="1" applyAlignment="1">
      <alignment horizontal="left" vertical="top" wrapText="1"/>
    </xf>
    <xf numFmtId="0" fontId="37" fillId="3" borderId="0" xfId="0" applyFont="1" applyFill="1" applyBorder="1" applyAlignment="1">
      <alignment horizontal="left" vertical="center" wrapText="1"/>
    </xf>
    <xf numFmtId="0" fontId="37" fillId="3" borderId="0" xfId="0" applyFont="1" applyFill="1" applyAlignment="1">
      <alignment horizontal="left" vertical="center" wrapText="1"/>
    </xf>
    <xf numFmtId="0" fontId="41" fillId="9" borderId="1" xfId="0" applyFont="1" applyFill="1" applyBorder="1" applyAlignment="1">
      <alignment horizontal="center" vertical="center"/>
    </xf>
    <xf numFmtId="0" fontId="37" fillId="3" borderId="9" xfId="0" applyFont="1" applyFill="1" applyBorder="1" applyAlignment="1">
      <alignment horizontal="center" vertical="center"/>
    </xf>
    <xf numFmtId="0" fontId="37" fillId="3" borderId="10" xfId="0" applyFont="1" applyFill="1" applyBorder="1" applyAlignment="1">
      <alignment horizontal="center" vertical="center"/>
    </xf>
    <xf numFmtId="0" fontId="42" fillId="8" borderId="1" xfId="0" applyFont="1" applyFill="1" applyBorder="1" applyAlignment="1">
      <alignment horizontal="center" vertical="center" wrapText="1"/>
    </xf>
    <xf numFmtId="0" fontId="41" fillId="9" borderId="1" xfId="0" applyFont="1" applyFill="1" applyBorder="1" applyAlignment="1">
      <alignment horizontal="center" vertical="center" wrapText="1"/>
    </xf>
    <xf numFmtId="0" fontId="42" fillId="8" borderId="1" xfId="0" applyFont="1" applyFill="1" applyBorder="1" applyAlignment="1">
      <alignment horizontal="center" vertical="center"/>
    </xf>
    <xf numFmtId="0" fontId="34" fillId="32" borderId="0" xfId="0" applyFont="1" applyFill="1" applyBorder="1" applyAlignment="1">
      <alignment horizontal="left" vertical="center" indent="3"/>
    </xf>
    <xf numFmtId="1" fontId="42" fillId="25" borderId="6" xfId="2" applyNumberFormat="1" applyFont="1" applyFill="1" applyBorder="1" applyAlignment="1">
      <alignment horizontal="center" vertical="center"/>
    </xf>
    <xf numFmtId="1" fontId="42" fillId="25" borderId="10" xfId="2" applyNumberFormat="1" applyFont="1" applyFill="1" applyBorder="1" applyAlignment="1">
      <alignment horizontal="center" vertical="center"/>
    </xf>
    <xf numFmtId="0" fontId="113" fillId="17" borderId="0" xfId="0" applyFont="1" applyFill="1" applyBorder="1" applyAlignment="1">
      <alignment horizontal="center" vertical="center"/>
    </xf>
    <xf numFmtId="0" fontId="42" fillId="8" borderId="9" xfId="0" applyFont="1" applyFill="1" applyBorder="1" applyAlignment="1">
      <alignment horizontal="center" vertical="center"/>
    </xf>
    <xf numFmtId="0" fontId="42" fillId="8" borderId="6" xfId="0" applyFont="1" applyFill="1" applyBorder="1" applyAlignment="1">
      <alignment horizontal="center" vertical="center"/>
    </xf>
    <xf numFmtId="0" fontId="42" fillId="8" borderId="10" xfId="0" applyFont="1" applyFill="1" applyBorder="1" applyAlignment="1">
      <alignment horizontal="center" vertical="center"/>
    </xf>
    <xf numFmtId="0" fontId="14" fillId="19" borderId="0" xfId="0" applyFont="1" applyFill="1" applyAlignment="1">
      <alignment horizontal="center" vertical="center"/>
    </xf>
    <xf numFmtId="0" fontId="0" fillId="19" borderId="0" xfId="0" applyFill="1" applyAlignment="1">
      <alignment horizontal="center" vertical="center"/>
    </xf>
    <xf numFmtId="0" fontId="41" fillId="9" borderId="2" xfId="0" applyFont="1" applyFill="1" applyBorder="1" applyAlignment="1">
      <alignment horizontal="center" vertical="center" wrapText="1"/>
    </xf>
    <xf numFmtId="0" fontId="41" fillId="9" borderId="4" xfId="0" applyFont="1" applyFill="1" applyBorder="1" applyAlignment="1">
      <alignment horizontal="center" vertical="center" wrapText="1"/>
    </xf>
    <xf numFmtId="0" fontId="38" fillId="8" borderId="1" xfId="0" applyFont="1" applyFill="1" applyBorder="1" applyAlignment="1">
      <alignment horizontal="center" vertical="center"/>
    </xf>
    <xf numFmtId="0" fontId="45" fillId="3" borderId="0" xfId="0" applyFont="1" applyFill="1" applyBorder="1" applyAlignment="1">
      <alignment horizontal="left" vertical="center"/>
    </xf>
    <xf numFmtId="0" fontId="41" fillId="9" borderId="9" xfId="0" applyFont="1" applyFill="1" applyBorder="1" applyAlignment="1">
      <alignment horizontal="center"/>
    </xf>
    <xf numFmtId="0" fontId="41" fillId="9" borderId="6" xfId="0" applyFont="1" applyFill="1" applyBorder="1" applyAlignment="1">
      <alignment horizontal="center"/>
    </xf>
    <xf numFmtId="0" fontId="41" fillId="9" borderId="10" xfId="0" applyFont="1" applyFill="1" applyBorder="1" applyAlignment="1">
      <alignment horizontal="center"/>
    </xf>
    <xf numFmtId="0" fontId="45" fillId="0" borderId="0" xfId="0" applyFont="1" applyFill="1" applyBorder="1" applyAlignment="1">
      <alignment horizontal="left" vertical="center"/>
    </xf>
    <xf numFmtId="0" fontId="37" fillId="0" borderId="0" xfId="0" applyFont="1" applyFill="1" applyAlignment="1">
      <alignment horizontal="left" vertical="center" wrapText="1"/>
    </xf>
    <xf numFmtId="0" fontId="37" fillId="0" borderId="0" xfId="0" applyFont="1" applyFill="1" applyBorder="1" applyAlignment="1">
      <alignment horizontal="left" vertical="center" wrapText="1"/>
    </xf>
    <xf numFmtId="0" fontId="41" fillId="9" borderId="11" xfId="0" applyFont="1" applyFill="1" applyBorder="1" applyAlignment="1">
      <alignment horizontal="center" vertical="center" wrapText="1"/>
    </xf>
    <xf numFmtId="0" fontId="37" fillId="0" borderId="22" xfId="0" applyFont="1" applyFill="1" applyBorder="1" applyAlignment="1">
      <alignment horizontal="left" vertical="center" wrapText="1"/>
    </xf>
    <xf numFmtId="0" fontId="37" fillId="0" borderId="14" xfId="0" applyFont="1" applyFill="1" applyBorder="1" applyAlignment="1">
      <alignment horizontal="left" vertical="center" wrapText="1"/>
    </xf>
    <xf numFmtId="0" fontId="38" fillId="8" borderId="1" xfId="0" applyFont="1" applyFill="1" applyBorder="1" applyAlignment="1">
      <alignment horizontal="center"/>
    </xf>
    <xf numFmtId="0" fontId="38" fillId="3" borderId="1" xfId="0" applyFont="1" applyFill="1" applyBorder="1" applyAlignment="1">
      <alignment horizontal="center" vertical="center"/>
    </xf>
    <xf numFmtId="0" fontId="38" fillId="3" borderId="9" xfId="0" applyFont="1" applyFill="1" applyBorder="1" applyAlignment="1">
      <alignment horizontal="center" vertical="center"/>
    </xf>
    <xf numFmtId="0" fontId="38" fillId="3" borderId="6" xfId="0" applyFont="1" applyFill="1" applyBorder="1" applyAlignment="1">
      <alignment horizontal="center" vertical="center"/>
    </xf>
    <xf numFmtId="0" fontId="38" fillId="3" borderId="10" xfId="0" applyFont="1" applyFill="1" applyBorder="1" applyAlignment="1">
      <alignment horizontal="center" vertical="center"/>
    </xf>
    <xf numFmtId="1" fontId="41" fillId="9" borderId="1" xfId="0" applyNumberFormat="1" applyFont="1" applyFill="1" applyBorder="1" applyAlignment="1">
      <alignment horizontal="center" vertical="center"/>
    </xf>
    <xf numFmtId="1" fontId="38" fillId="8" borderId="1" xfId="0" applyNumberFormat="1" applyFont="1" applyFill="1" applyBorder="1" applyAlignment="1">
      <alignment horizontal="center" vertical="center"/>
    </xf>
    <xf numFmtId="0" fontId="38" fillId="3" borderId="58" xfId="0" applyFont="1" applyFill="1" applyBorder="1" applyAlignment="1">
      <alignment horizontal="center" vertical="center" wrapText="1"/>
    </xf>
    <xf numFmtId="0" fontId="38" fillId="3" borderId="59" xfId="0" applyFont="1" applyFill="1" applyBorder="1" applyAlignment="1">
      <alignment horizontal="center" vertical="center" wrapText="1"/>
    </xf>
    <xf numFmtId="0" fontId="38" fillId="3" borderId="60" xfId="0" applyFont="1" applyFill="1" applyBorder="1" applyAlignment="1">
      <alignment horizontal="center" vertical="center" wrapText="1"/>
    </xf>
    <xf numFmtId="0" fontId="38" fillId="42" borderId="52" xfId="0" applyFont="1" applyFill="1" applyBorder="1" applyAlignment="1">
      <alignment horizontal="center" vertical="center"/>
    </xf>
    <xf numFmtId="0" fontId="38" fillId="42" borderId="54" xfId="0" applyFont="1" applyFill="1" applyBorder="1" applyAlignment="1">
      <alignment horizontal="center" vertical="center"/>
    </xf>
    <xf numFmtId="0" fontId="38" fillId="42" borderId="56" xfId="0" applyFont="1" applyFill="1" applyBorder="1" applyAlignment="1">
      <alignment horizontal="center" vertical="center"/>
    </xf>
    <xf numFmtId="0" fontId="38" fillId="0" borderId="58" xfId="0" applyFont="1" applyBorder="1" applyAlignment="1">
      <alignment horizontal="center" vertical="center"/>
    </xf>
    <xf numFmtId="0" fontId="38" fillId="0" borderId="59" xfId="0" applyFont="1" applyBorder="1" applyAlignment="1">
      <alignment horizontal="center" vertical="center"/>
    </xf>
    <xf numFmtId="0" fontId="38" fillId="0" borderId="60" xfId="0" applyFont="1" applyBorder="1" applyAlignment="1">
      <alignment horizontal="center" vertical="center"/>
    </xf>
    <xf numFmtId="0" fontId="38" fillId="3" borderId="9"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12" borderId="16" xfId="0" applyFont="1" applyFill="1" applyBorder="1" applyAlignment="1">
      <alignment horizontal="center" vertical="center" wrapText="1"/>
    </xf>
    <xf numFmtId="0" fontId="38" fillId="12" borderId="17" xfId="0" applyFont="1" applyFill="1" applyBorder="1" applyAlignment="1">
      <alignment horizontal="center" vertical="center" wrapText="1"/>
    </xf>
    <xf numFmtId="0" fontId="38" fillId="12" borderId="13" xfId="0" applyFont="1" applyFill="1" applyBorder="1" applyAlignment="1">
      <alignment horizontal="center" vertical="center" wrapText="1"/>
    </xf>
    <xf numFmtId="0" fontId="38" fillId="12" borderId="14" xfId="0" applyFont="1" applyFill="1" applyBorder="1" applyAlignment="1">
      <alignment horizontal="center" vertical="center" wrapText="1"/>
    </xf>
    <xf numFmtId="1" fontId="41" fillId="9" borderId="1" xfId="0" applyNumberFormat="1" applyFont="1" applyFill="1" applyBorder="1" applyAlignment="1">
      <alignment horizontal="center" vertical="center" wrapText="1"/>
    </xf>
    <xf numFmtId="167" fontId="38" fillId="12" borderId="2" xfId="0" applyNumberFormat="1" applyFont="1" applyFill="1" applyBorder="1" applyAlignment="1">
      <alignment horizontal="right" vertical="center"/>
    </xf>
    <xf numFmtId="167" fontId="38" fillId="12" borderId="4" xfId="0" applyNumberFormat="1" applyFont="1" applyFill="1" applyBorder="1" applyAlignment="1">
      <alignment horizontal="right" vertical="center"/>
    </xf>
    <xf numFmtId="165" fontId="38" fillId="12" borderId="2" xfId="1" applyNumberFormat="1" applyFont="1" applyFill="1" applyBorder="1" applyAlignment="1">
      <alignment horizontal="right" vertical="center" wrapText="1" indent="1"/>
    </xf>
    <xf numFmtId="0" fontId="38" fillId="12" borderId="4" xfId="0" applyFont="1" applyFill="1" applyBorder="1" applyAlignment="1">
      <alignment horizontal="right" vertical="center" wrapText="1" indent="1"/>
    </xf>
    <xf numFmtId="0" fontId="48" fillId="3" borderId="19" xfId="0" applyFont="1" applyFill="1" applyBorder="1" applyAlignment="1">
      <alignment horizontal="center"/>
    </xf>
  </cellXfs>
  <cellStyles count="15">
    <cellStyle name="Milliers" xfId="14" builtinId="3"/>
    <cellStyle name="Monétaire" xfId="13" builtinId="4"/>
    <cellStyle name="Normal" xfId="0" builtinId="0"/>
    <cellStyle name="Normal 2" xfId="2"/>
    <cellStyle name="Normal 3" xfId="4"/>
    <cellStyle name="Normal 4" xfId="5"/>
    <cellStyle name="Normal 5" xfId="6"/>
    <cellStyle name="Normal 5 2" xfId="10"/>
    <cellStyle name="Pourcentage" xfId="1" builtinId="5"/>
    <cellStyle name="Pourcentage 2" xfId="3"/>
    <cellStyle name="Pourcentage 2 2" xfId="9"/>
    <cellStyle name="Pourcentage 3" xfId="7"/>
    <cellStyle name="Pourcentage 3 2" xfId="11"/>
    <cellStyle name="Pourcentage 4" xfId="8"/>
    <cellStyle name="Pourcentage 4 2" xfId="12"/>
  </cellStyles>
  <dxfs count="8">
    <dxf>
      <font>
        <color rgb="FFFF66CC"/>
      </font>
    </dxf>
    <dxf>
      <font>
        <color rgb="FFFF66CC"/>
      </font>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9" defaultPivotStyle="PivotStyleLight16">
    <tableStyle name="TableStyleQueryPreview" pivot="0" count="3">
      <tableStyleElement type="wholeTable" dxfId="7"/>
      <tableStyleElement type="headerRow" dxfId="6"/>
      <tableStyleElement type="firstRowStripe" dxfId="5"/>
    </tableStyle>
    <tableStyle name="TableStyleQueryResult" pivot="0" count="3">
      <tableStyleElement type="wholeTable" dxfId="4"/>
      <tableStyleElement type="headerRow" dxfId="3"/>
      <tableStyleElement type="firstRowStripe" dxfId="2"/>
    </tableStyle>
  </tableStyles>
  <colors>
    <mruColors>
      <color rgb="FFD80ED8"/>
      <color rgb="FF990099"/>
      <color rgb="FFA1E7A1"/>
      <color rgb="FFFF6600"/>
      <color rgb="FFFF9933"/>
      <color rgb="FF67A6A5"/>
      <color rgb="FFC0E399"/>
      <color rgb="FFF896F8"/>
      <color rgb="FF647586"/>
      <color rgb="FF5B62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Démographie!$K$14</c:f>
          <c:strCache>
            <c:ptCount val="1"/>
            <c:pt idx="0">
              <c:v>Taux d'évolution annuel moyen de la
population depuis 2009 à Paul Bert</c:v>
            </c:pt>
          </c:strCache>
        </c:strRef>
      </c:tx>
      <c:layout>
        <c:manualLayout>
          <c:xMode val="edge"/>
          <c:yMode val="edge"/>
          <c:x val="9.023338888537294E-4"/>
          <c:y val="6.7260085873683106E-3"/>
        </c:manualLayout>
      </c:layout>
      <c:overlay val="0"/>
      <c:txPr>
        <a:bodyPr/>
        <a:lstStyle/>
        <a:p>
          <a:pPr algn="l">
            <a:defRPr sz="850"/>
          </a:pPr>
          <a:endParaRPr lang="fr-FR"/>
        </a:p>
      </c:txPr>
    </c:title>
    <c:autoTitleDeleted val="0"/>
    <c:plotArea>
      <c:layout>
        <c:manualLayout>
          <c:layoutTarget val="inner"/>
          <c:xMode val="edge"/>
          <c:yMode val="edge"/>
          <c:x val="0.11685026967350873"/>
          <c:y val="0.22980849415259752"/>
          <c:w val="0.8648954169997406"/>
          <c:h val="0.65918785598803054"/>
        </c:manualLayout>
      </c:layout>
      <c:barChart>
        <c:barDir val="col"/>
        <c:grouping val="clustered"/>
        <c:varyColors val="0"/>
        <c:ser>
          <c:idx val="0"/>
          <c:order val="0"/>
          <c:tx>
            <c:strRef>
              <c:f>Démographie!$A$15</c:f>
              <c:strCache>
                <c:ptCount val="1"/>
                <c:pt idx="0">
                  <c:v>Paul Bert</c:v>
                </c:pt>
              </c:strCache>
            </c:strRef>
          </c:tx>
          <c:spPr>
            <a:solidFill>
              <a:schemeClr val="accent4">
                <a:lumMod val="20000"/>
                <a:lumOff val="80000"/>
              </a:schemeClr>
            </a:solidFill>
            <a:ln>
              <a:solidFill>
                <a:schemeClr val="tx1"/>
              </a:solidFill>
            </a:ln>
            <a:effectLst>
              <a:outerShdw blurRad="50800" dist="38100" dir="3300000" algn="tl" rotWithShape="0">
                <a:prstClr val="black">
                  <a:alpha val="40000"/>
                </a:prstClr>
              </a:outerShdw>
            </a:effectLst>
          </c:spPr>
          <c:invertIfNegative val="0"/>
          <c:dLbls>
            <c:numFmt formatCode="\+\ 0.0%;\-\ 0.0%" sourceLinked="0"/>
            <c:spPr>
              <a:noFill/>
              <a:ln>
                <a:noFill/>
              </a:ln>
            </c:spPr>
            <c:txPr>
              <a:bodyPr/>
              <a:lstStyle/>
              <a:p>
                <a:pPr>
                  <a:defRPr sz="750"/>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Démographie!$B$14:$C$14</c:f>
              <c:strCache>
                <c:ptCount val="2"/>
                <c:pt idx="0">
                  <c:v>2009-2014</c:v>
                </c:pt>
                <c:pt idx="1">
                  <c:v>2014-2020</c:v>
                </c:pt>
              </c:strCache>
            </c:strRef>
          </c:cat>
          <c:val>
            <c:numRef>
              <c:f>Démographie!$B$15:$C$15</c:f>
              <c:numCache>
                <c:formatCode>\+\ 0.0%;\-\ 0.0%</c:formatCode>
                <c:ptCount val="2"/>
                <c:pt idx="0">
                  <c:v>1.7804228297367608E-2</c:v>
                </c:pt>
                <c:pt idx="1">
                  <c:v>1.2399084137420635E-2</c:v>
                </c:pt>
              </c:numCache>
            </c:numRef>
          </c:val>
          <c:extLst>
            <c:ext xmlns:c16="http://schemas.microsoft.com/office/drawing/2014/chart" uri="{C3380CC4-5D6E-409C-BE32-E72D297353CC}">
              <c16:uniqueId val="{00000002-E45D-4BA5-B875-27C821C86828}"/>
            </c:ext>
          </c:extLst>
        </c:ser>
        <c:ser>
          <c:idx val="1"/>
          <c:order val="1"/>
          <c:tx>
            <c:strRef>
              <c:f>Démographie!$A$16</c:f>
              <c:strCache>
                <c:ptCount val="1"/>
                <c:pt idx="0">
                  <c:v>Tours nord</c:v>
                </c:pt>
              </c:strCache>
            </c:strRef>
          </c:tx>
          <c:spPr>
            <a:solidFill>
              <a:schemeClr val="bg2">
                <a:lumMod val="75000"/>
              </a:schemeClr>
            </a:solidFill>
            <a:ln>
              <a:solidFill>
                <a:schemeClr val="tx1"/>
              </a:solidFill>
            </a:ln>
          </c:spPr>
          <c:invertIfNegative val="0"/>
          <c:dLbls>
            <c:spPr>
              <a:noFill/>
              <a:ln>
                <a:noFill/>
              </a:ln>
              <a:effectLst/>
            </c:spPr>
            <c:txPr>
              <a:bodyPr/>
              <a:lstStyle/>
              <a:p>
                <a:pPr>
                  <a:defRPr sz="750"/>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Démographie!$B$14:$C$14</c:f>
              <c:strCache>
                <c:ptCount val="2"/>
                <c:pt idx="0">
                  <c:v>2009-2014</c:v>
                </c:pt>
                <c:pt idx="1">
                  <c:v>2014-2020</c:v>
                </c:pt>
              </c:strCache>
            </c:strRef>
          </c:cat>
          <c:val>
            <c:numRef>
              <c:f>Démographie!$B$16:$C$16</c:f>
              <c:numCache>
                <c:formatCode>\+\ 0.0%;\-\ 0.0%</c:formatCode>
                <c:ptCount val="2"/>
                <c:pt idx="0">
                  <c:v>9.5280763270284563E-3</c:v>
                </c:pt>
                <c:pt idx="1">
                  <c:v>1.9024832254652013E-2</c:v>
                </c:pt>
              </c:numCache>
            </c:numRef>
          </c:val>
          <c:extLst>
            <c:ext xmlns:c16="http://schemas.microsoft.com/office/drawing/2014/chart" uri="{C3380CC4-5D6E-409C-BE32-E72D297353CC}">
              <c16:uniqueId val="{00000000-5913-4780-A805-788AD0D86F1A}"/>
            </c:ext>
          </c:extLst>
        </c:ser>
        <c:ser>
          <c:idx val="2"/>
          <c:order val="2"/>
          <c:tx>
            <c:strRef>
              <c:f>Démographie!$A$17</c:f>
              <c:strCache>
                <c:ptCount val="1"/>
                <c:pt idx="0">
                  <c:v>Tours</c:v>
                </c:pt>
              </c:strCache>
            </c:strRef>
          </c:tx>
          <c:spPr>
            <a:solidFill>
              <a:srgbClr val="647586"/>
            </a:solidFill>
            <a:ln>
              <a:solidFill>
                <a:schemeClr val="tx1"/>
              </a:solidFill>
            </a:ln>
          </c:spPr>
          <c:invertIfNegative val="0"/>
          <c:dPt>
            <c:idx val="1"/>
            <c:invertIfNegative val="0"/>
            <c:bubble3D val="0"/>
            <c:spPr>
              <a:solidFill>
                <a:schemeClr val="bg2">
                  <a:lumMod val="10000"/>
                </a:schemeClr>
              </a:solidFill>
              <a:ln>
                <a:solidFill>
                  <a:schemeClr val="tx1"/>
                </a:solidFill>
              </a:ln>
            </c:spPr>
            <c:extLst>
              <c:ext xmlns:c16="http://schemas.microsoft.com/office/drawing/2014/chart" uri="{C3380CC4-5D6E-409C-BE32-E72D297353CC}">
                <c16:uniqueId val="{00000002-5913-4780-A805-788AD0D86F1A}"/>
              </c:ext>
            </c:extLst>
          </c:dPt>
          <c:dLbls>
            <c:spPr>
              <a:noFill/>
              <a:ln>
                <a:noFill/>
              </a:ln>
              <a:effectLst/>
            </c:spPr>
            <c:txPr>
              <a:bodyPr/>
              <a:lstStyle/>
              <a:p>
                <a:pPr>
                  <a:defRPr sz="750"/>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Démographie!$B$14:$C$14</c:f>
              <c:strCache>
                <c:ptCount val="2"/>
                <c:pt idx="0">
                  <c:v>2009-2014</c:v>
                </c:pt>
                <c:pt idx="1">
                  <c:v>2014-2020</c:v>
                </c:pt>
              </c:strCache>
            </c:strRef>
          </c:cat>
          <c:val>
            <c:numRef>
              <c:f>Démographie!$B$17:$C$17</c:f>
              <c:numCache>
                <c:formatCode>\+\ 0.0%;\-\ 0.0%</c:formatCode>
                <c:ptCount val="2"/>
                <c:pt idx="0">
                  <c:v>1.3379523459169373E-3</c:v>
                </c:pt>
                <c:pt idx="1">
                  <c:v>2.521685356898562E-3</c:v>
                </c:pt>
              </c:numCache>
            </c:numRef>
          </c:val>
          <c:extLst>
            <c:ext xmlns:c16="http://schemas.microsoft.com/office/drawing/2014/chart" uri="{C3380CC4-5D6E-409C-BE32-E72D297353CC}">
              <c16:uniqueId val="{00000003-5913-4780-A805-788AD0D86F1A}"/>
            </c:ext>
          </c:extLst>
        </c:ser>
        <c:dLbls>
          <c:dLblPos val="outEnd"/>
          <c:showLegendKey val="0"/>
          <c:showVal val="1"/>
          <c:showCatName val="0"/>
          <c:showSerName val="0"/>
          <c:showPercent val="0"/>
          <c:showBubbleSize val="0"/>
        </c:dLbls>
        <c:gapWidth val="150"/>
        <c:axId val="42965248"/>
        <c:axId val="42995712"/>
      </c:barChart>
      <c:catAx>
        <c:axId val="42965248"/>
        <c:scaling>
          <c:orientation val="minMax"/>
        </c:scaling>
        <c:delete val="0"/>
        <c:axPos val="b"/>
        <c:numFmt formatCode="General" sourceLinked="1"/>
        <c:majorTickMark val="out"/>
        <c:minorTickMark val="none"/>
        <c:tickLblPos val="low"/>
        <c:txPr>
          <a:bodyPr/>
          <a:lstStyle/>
          <a:p>
            <a:pPr>
              <a:defRPr sz="800"/>
            </a:pPr>
            <a:endParaRPr lang="fr-FR"/>
          </a:p>
        </c:txPr>
        <c:crossAx val="42995712"/>
        <c:crosses val="autoZero"/>
        <c:auto val="1"/>
        <c:lblAlgn val="ctr"/>
        <c:lblOffset val="100"/>
        <c:noMultiLvlLbl val="0"/>
      </c:catAx>
      <c:valAx>
        <c:axId val="42995712"/>
        <c:scaling>
          <c:orientation val="minMax"/>
        </c:scaling>
        <c:delete val="0"/>
        <c:axPos val="l"/>
        <c:numFmt formatCode="\+\ 0.0%;\-\ 0.0%" sourceLinked="0"/>
        <c:majorTickMark val="out"/>
        <c:minorTickMark val="none"/>
        <c:tickLblPos val="nextTo"/>
        <c:txPr>
          <a:bodyPr/>
          <a:lstStyle/>
          <a:p>
            <a:pPr>
              <a:defRPr sz="800"/>
            </a:pPr>
            <a:endParaRPr lang="fr-FR"/>
          </a:p>
        </c:txPr>
        <c:crossAx val="42965248"/>
        <c:crosses val="autoZero"/>
        <c:crossBetween val="between"/>
      </c:valAx>
      <c:spPr>
        <a:noFill/>
        <a:ln>
          <a:noFill/>
        </a:ln>
      </c:spPr>
    </c:plotArea>
    <c:legend>
      <c:legendPos val="t"/>
      <c:layout>
        <c:manualLayout>
          <c:xMode val="edge"/>
          <c:yMode val="edge"/>
          <c:x val="0.48877469077203273"/>
          <c:y val="2.1558164906130595E-2"/>
          <c:w val="0.50676236662336804"/>
          <c:h val="0.18206566212311703"/>
        </c:manualLayout>
      </c:layout>
      <c:overlay val="0"/>
    </c:legend>
    <c:plotVisOnly val="1"/>
    <c:dispBlanksAs val="gap"/>
    <c:showDLblsOverMax val="0"/>
  </c:chart>
  <c:spPr>
    <a:solidFill>
      <a:schemeClr val="bg1"/>
    </a:solidFill>
    <a:ln>
      <a:noFill/>
    </a:ln>
  </c:spPr>
  <c:txPr>
    <a:bodyPr/>
    <a:lstStyle/>
    <a:p>
      <a:pPr>
        <a:defRPr>
          <a:solidFill>
            <a:schemeClr val="tx1"/>
          </a:solidFill>
          <a:latin typeface="Arial Narrow" panose="020B0606020202030204" pitchFamily="34" charset="0"/>
        </a:defRPr>
      </a:pPr>
      <a:endParaRPr lang="fr-FR"/>
    </a:p>
  </c:txPr>
  <c:printSettings>
    <c:headerFooter/>
    <c:pageMargins b="0.75000000000001465" l="0.70000000000000062" r="0.70000000000000062" t="0.75000000000001465" header="0.30000000000000032" footer="0.30000000000000032"/>
    <c:pageSetup paperSize="9"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Ménages!$K$49</c:f>
          <c:strCache>
            <c:ptCount val="1"/>
            <c:pt idx="0">
              <c:v>Âge des personnes vivant seules en 
2009 et 2020 Paul Bert</c:v>
            </c:pt>
          </c:strCache>
        </c:strRef>
      </c:tx>
      <c:layout>
        <c:manualLayout>
          <c:xMode val="edge"/>
          <c:yMode val="edge"/>
          <c:x val="1.2143404031063545E-3"/>
          <c:y val="0"/>
        </c:manualLayout>
      </c:layout>
      <c:overlay val="0"/>
      <c:txPr>
        <a:bodyPr/>
        <a:lstStyle/>
        <a:p>
          <a:pPr algn="l">
            <a:defRPr sz="850">
              <a:solidFill>
                <a:schemeClr val="tx1"/>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9.0338966588966604E-2"/>
          <c:y val="0.2499841138044685"/>
          <c:w val="0.90423895202020199"/>
          <c:h val="0.56401924983266549"/>
        </c:manualLayout>
      </c:layout>
      <c:barChart>
        <c:barDir val="col"/>
        <c:grouping val="clustered"/>
        <c:varyColors val="0"/>
        <c:ser>
          <c:idx val="1"/>
          <c:order val="0"/>
          <c:tx>
            <c:strRef>
              <c:f>'Base de données'!$EV$100</c:f>
              <c:strCache>
                <c:ptCount val="1"/>
                <c:pt idx="0">
                  <c:v>2009</c:v>
                </c:pt>
              </c:strCache>
            </c:strRef>
          </c:tx>
          <c:spPr>
            <a:solidFill>
              <a:srgbClr val="BEBF26"/>
            </a:solidFill>
            <a:effectLst>
              <a:outerShdw blurRad="50800" dist="38100" dir="2700000" algn="tl" rotWithShape="0">
                <a:prstClr val="black">
                  <a:alpha val="40000"/>
                </a:prstClr>
              </a:outerShdw>
            </a:effectLst>
          </c:spPr>
          <c:invertIfNegative val="0"/>
          <c:dLbls>
            <c:numFmt formatCode="0%" sourceLinked="0"/>
            <c:spPr>
              <a:noFill/>
              <a:ln>
                <a:noFill/>
              </a:ln>
              <a:effectLst/>
            </c:spPr>
            <c:txPr>
              <a:bodyPr/>
              <a:lstStyle/>
              <a:p>
                <a:pPr>
                  <a:defRPr sz="700">
                    <a:solidFill>
                      <a:schemeClr val="tx1"/>
                    </a:solidFill>
                    <a:latin typeface="Arial Narrow" panose="020B0606020202030204" pitchFamily="34" charset="0"/>
                    <a:cs typeface="Tahoma"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données'!$EW$99:$EZ$99</c:f>
              <c:strCache>
                <c:ptCount val="4"/>
                <c:pt idx="0">
                  <c:v>15-24
ans</c:v>
                </c:pt>
                <c:pt idx="1">
                  <c:v>25-54
ans</c:v>
                </c:pt>
                <c:pt idx="2">
                  <c:v>55-79
ans</c:v>
                </c:pt>
                <c:pt idx="3">
                  <c:v>80 ans ou plus
</c:v>
                </c:pt>
              </c:strCache>
            </c:strRef>
          </c:cat>
          <c:val>
            <c:numRef>
              <c:f>'Base de données'!$EW$100:$EZ$100</c:f>
              <c:numCache>
                <c:formatCode>0.0%</c:formatCode>
                <c:ptCount val="4"/>
                <c:pt idx="0">
                  <c:v>0.45734150040575539</c:v>
                </c:pt>
                <c:pt idx="1">
                  <c:v>0.36920431832736467</c:v>
                </c:pt>
                <c:pt idx="2">
                  <c:v>0.36036904513906043</c:v>
                </c:pt>
                <c:pt idx="3">
                  <c:v>0.60696812687241963</c:v>
                </c:pt>
              </c:numCache>
            </c:numRef>
          </c:val>
          <c:extLst>
            <c:ext xmlns:c16="http://schemas.microsoft.com/office/drawing/2014/chart" uri="{C3380CC4-5D6E-409C-BE32-E72D297353CC}">
              <c16:uniqueId val="{00000000-A17C-4EA4-8FA7-96FF648B6CEA}"/>
            </c:ext>
          </c:extLst>
        </c:ser>
        <c:ser>
          <c:idx val="0"/>
          <c:order val="1"/>
          <c:tx>
            <c:strRef>
              <c:f>'Base de données'!$EV$101</c:f>
              <c:strCache>
                <c:ptCount val="1"/>
                <c:pt idx="0">
                  <c:v>2020</c:v>
                </c:pt>
              </c:strCache>
            </c:strRef>
          </c:tx>
          <c:spPr>
            <a:solidFill>
              <a:srgbClr val="856176"/>
            </a:solidFill>
            <a:ln>
              <a:noFill/>
            </a:ln>
            <a:effectLst>
              <a:outerShdw blurRad="50800" dist="38100" dir="2700000" algn="tl" rotWithShape="0">
                <a:prstClr val="black">
                  <a:alpha val="40000"/>
                </a:prstClr>
              </a:outerShdw>
            </a:effectLst>
          </c:spPr>
          <c:invertIfNegative val="0"/>
          <c:dLbls>
            <c:dLbl>
              <c:idx val="4"/>
              <c:layout>
                <c:manualLayout>
                  <c:x val="2.4053030303030302E-2"/>
                  <c:y val="7.669082125603879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7C-4EA4-8FA7-96FF648B6CEA}"/>
                </c:ext>
              </c:extLst>
            </c:dLbl>
            <c:dLbl>
              <c:idx val="5"/>
              <c:layout>
                <c:manualLayout>
                  <c:x val="1.6035353535353535E-2"/>
                  <c:y val="7.669082125603879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7C-4EA4-8FA7-96FF648B6CEA}"/>
                </c:ext>
              </c:extLst>
            </c:dLbl>
            <c:dLbl>
              <c:idx val="6"/>
              <c:layout>
                <c:manualLayout>
                  <c:x val="7.4406565656565758E-3"/>
                  <c:y val="7.669082125603879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7C-4EA4-8FA7-96FF648B6CEA}"/>
                </c:ext>
              </c:extLst>
            </c:dLbl>
            <c:numFmt formatCode="0%" sourceLinked="0"/>
            <c:spPr>
              <a:noFill/>
              <a:ln>
                <a:noFill/>
              </a:ln>
              <a:effectLst/>
            </c:spPr>
            <c:txPr>
              <a:bodyPr/>
              <a:lstStyle/>
              <a:p>
                <a:pPr>
                  <a:defRPr sz="700">
                    <a:solidFill>
                      <a:sysClr val="windowText" lastClr="000000"/>
                    </a:solidFill>
                    <a:latin typeface="Arial Narrow" panose="020B0606020202030204" pitchFamily="34" charset="0"/>
                    <a:cs typeface="Tahoma"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données'!$EW$99:$EZ$99</c:f>
              <c:strCache>
                <c:ptCount val="4"/>
                <c:pt idx="0">
                  <c:v>15-24
ans</c:v>
                </c:pt>
                <c:pt idx="1">
                  <c:v>25-54
ans</c:v>
                </c:pt>
                <c:pt idx="2">
                  <c:v>55-79
ans</c:v>
                </c:pt>
                <c:pt idx="3">
                  <c:v>80 ans ou plus
</c:v>
                </c:pt>
              </c:strCache>
            </c:strRef>
          </c:cat>
          <c:val>
            <c:numRef>
              <c:f>'Base de données'!$EW$101:$EZ$101</c:f>
              <c:numCache>
                <c:formatCode>0.0%</c:formatCode>
                <c:ptCount val="4"/>
                <c:pt idx="0">
                  <c:v>0.38958819866560074</c:v>
                </c:pt>
                <c:pt idx="1">
                  <c:v>0.37218100013578514</c:v>
                </c:pt>
                <c:pt idx="2">
                  <c:v>0.40848553935496851</c:v>
                </c:pt>
                <c:pt idx="3">
                  <c:v>0.56030807753461764</c:v>
                </c:pt>
              </c:numCache>
            </c:numRef>
          </c:val>
          <c:extLst>
            <c:ext xmlns:c16="http://schemas.microsoft.com/office/drawing/2014/chart" uri="{C3380CC4-5D6E-409C-BE32-E72D297353CC}">
              <c16:uniqueId val="{00000004-A17C-4EA4-8FA7-96FF648B6CEA}"/>
            </c:ext>
          </c:extLst>
        </c:ser>
        <c:dLbls>
          <c:showLegendKey val="0"/>
          <c:showVal val="1"/>
          <c:showCatName val="0"/>
          <c:showSerName val="0"/>
          <c:showPercent val="0"/>
          <c:showBubbleSize val="0"/>
        </c:dLbls>
        <c:gapWidth val="100"/>
        <c:axId val="120758656"/>
        <c:axId val="120760192"/>
      </c:barChart>
      <c:catAx>
        <c:axId val="120758656"/>
        <c:scaling>
          <c:orientation val="minMax"/>
        </c:scaling>
        <c:delete val="0"/>
        <c:axPos val="b"/>
        <c:numFmt formatCode="General" sourceLinked="1"/>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120760192"/>
        <c:crosses val="autoZero"/>
        <c:auto val="1"/>
        <c:lblAlgn val="ctr"/>
        <c:lblOffset val="100"/>
        <c:noMultiLvlLbl val="0"/>
      </c:catAx>
      <c:valAx>
        <c:axId val="120760192"/>
        <c:scaling>
          <c:orientation val="minMax"/>
        </c:scaling>
        <c:delete val="0"/>
        <c:axPos val="l"/>
        <c:numFmt formatCode="0%" sourceLinked="0"/>
        <c:majorTickMark val="out"/>
        <c:minorTickMark val="none"/>
        <c:tickLblPos val="nextTo"/>
        <c:txPr>
          <a:bodyPr/>
          <a:lstStyle/>
          <a:p>
            <a:pPr>
              <a:defRPr sz="750">
                <a:solidFill>
                  <a:sysClr val="windowText" lastClr="000000"/>
                </a:solidFill>
                <a:latin typeface="Arial Narrow" panose="020B0606020202030204" pitchFamily="34" charset="0"/>
                <a:cs typeface="Tahoma" pitchFamily="34" charset="0"/>
              </a:defRPr>
            </a:pPr>
            <a:endParaRPr lang="fr-FR"/>
          </a:p>
        </c:txPr>
        <c:crossAx val="120758656"/>
        <c:crosses val="autoZero"/>
        <c:crossBetween val="between"/>
        <c:majorUnit val="0.1"/>
      </c:valAx>
      <c:spPr>
        <a:noFill/>
        <a:ln>
          <a:noFill/>
        </a:ln>
      </c:spPr>
    </c:plotArea>
    <c:legend>
      <c:legendPos val="b"/>
      <c:layout>
        <c:manualLayout>
          <c:xMode val="edge"/>
          <c:yMode val="edge"/>
          <c:x val="0.82682271432271437"/>
          <c:y val="7.0550594355528818E-3"/>
          <c:w val="0.16689491064491063"/>
          <c:h val="0.14761505841883638"/>
        </c:manualLayout>
      </c:layout>
      <c:overlay val="0"/>
      <c:spPr>
        <a:noFill/>
      </c:spPr>
      <c:txPr>
        <a:bodyPr/>
        <a:lstStyle/>
        <a:p>
          <a:pPr>
            <a:defRPr sz="800">
              <a:solidFill>
                <a:schemeClr val="tx1"/>
              </a:solidFill>
              <a:latin typeface="Arial Narrow" panose="020B0606020202030204" pitchFamily="34" charset="0"/>
              <a:cs typeface="Tahoma" pitchFamily="34" charset="0"/>
            </a:defRPr>
          </a:pPr>
          <a:endParaRPr lang="fr-FR"/>
        </a:p>
      </c:txPr>
    </c:legend>
    <c:plotVisOnly val="1"/>
    <c:dispBlanksAs val="gap"/>
    <c:showDLblsOverMax val="0"/>
  </c:chart>
  <c:spPr>
    <a:solidFill>
      <a:schemeClr val="bg1"/>
    </a:solidFill>
    <a:ln>
      <a:noFill/>
    </a:ln>
  </c:spPr>
  <c:txPr>
    <a:bodyPr/>
    <a:lstStyle/>
    <a:p>
      <a:pPr>
        <a:defRPr>
          <a:solidFill>
            <a:schemeClr val="bg1"/>
          </a:solidFill>
          <a:latin typeface="+mn-lt"/>
        </a:defRPr>
      </a:pPr>
      <a:endParaRPr lang="fr-FR"/>
    </a:p>
  </c:txPr>
  <c:printSettings>
    <c:headerFooter/>
    <c:pageMargins b="0.75000000000001465" l="0.70000000000000062" r="0.70000000000000062" t="0.75000000000001465" header="0.30000000000000032" footer="0.30000000000000032"/>
    <c:pageSetup paperSize="9" orientation="portrait"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Ménages!$K$61</c:f>
          <c:strCache>
            <c:ptCount val="1"/>
            <c:pt idx="0">
              <c:v>Familles selon le nombre d'enfants 
âgés de moins de 25 ans en 2009 et 2020 Paul Bert</c:v>
            </c:pt>
          </c:strCache>
        </c:strRef>
      </c:tx>
      <c:layout>
        <c:manualLayout>
          <c:xMode val="edge"/>
          <c:yMode val="edge"/>
          <c:x val="3.4330589086386976E-2"/>
          <c:y val="1.748568360773085E-2"/>
        </c:manualLayout>
      </c:layout>
      <c:overlay val="0"/>
      <c:txPr>
        <a:bodyPr/>
        <a:lstStyle/>
        <a:p>
          <a:pPr algn="l">
            <a:defRPr sz="850">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8.0875468584650168E-2"/>
          <c:y val="0.27359296707229785"/>
          <c:w val="0.90773504273504269"/>
          <c:h val="0.54379240525341344"/>
        </c:manualLayout>
      </c:layout>
      <c:barChart>
        <c:barDir val="col"/>
        <c:grouping val="clustered"/>
        <c:varyColors val="0"/>
        <c:ser>
          <c:idx val="0"/>
          <c:order val="0"/>
          <c:tx>
            <c:strRef>
              <c:f>'Base de données'!$FV$100</c:f>
              <c:strCache>
                <c:ptCount val="1"/>
                <c:pt idx="0">
                  <c:v>2009</c:v>
                </c:pt>
              </c:strCache>
            </c:strRef>
          </c:tx>
          <c:spPr>
            <a:solidFill>
              <a:srgbClr val="BEBF26"/>
            </a:solidFill>
            <a:effectLst>
              <a:outerShdw blurRad="50800" dist="38100" dir="2700000" algn="tl" rotWithShape="0">
                <a:prstClr val="black">
                  <a:alpha val="40000"/>
                </a:prstClr>
              </a:outerShdw>
            </a:effectLst>
          </c:spPr>
          <c:invertIfNegative val="0"/>
          <c:dLbls>
            <c:dLbl>
              <c:idx val="0"/>
              <c:layout>
                <c:manualLayout>
                  <c:x val="-1.687092777150653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860-497A-975F-49DBEECBF5BF}"/>
                </c:ext>
              </c:extLst>
            </c:dLbl>
            <c:dLbl>
              <c:idx val="1"/>
              <c:layout>
                <c:manualLayout>
                  <c:x val="-1.2653195828629936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860-497A-975F-49DBEECBF5BF}"/>
                </c:ext>
              </c:extLst>
            </c:dLbl>
            <c:dLbl>
              <c:idx val="2"/>
              <c:layout>
                <c:manualLayout>
                  <c:x val="-1.265319582862989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860-497A-975F-49DBEECBF5BF}"/>
                </c:ext>
              </c:extLst>
            </c:dLbl>
            <c:dLbl>
              <c:idx val="3"/>
              <c:layout>
                <c:manualLayout>
                  <c:x val="-1.265319582862989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860-497A-975F-49DBEECBF5BF}"/>
                </c:ext>
              </c:extLst>
            </c:dLbl>
            <c:numFmt formatCode="0.0%" sourceLinked="0"/>
            <c:spPr>
              <a:noFill/>
            </c:spPr>
            <c:txPr>
              <a:bodyPr/>
              <a:lstStyle/>
              <a:p>
                <a:pPr>
                  <a:defRPr sz="750">
                    <a:solidFill>
                      <a:sysClr val="windowText" lastClr="000000"/>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de données'!$FW$99:$FZ$99</c:f>
              <c:strCache>
                <c:ptCount val="4"/>
                <c:pt idx="0">
                  <c:v>Aucun enfant</c:v>
                </c:pt>
                <c:pt idx="1">
                  <c:v>1 enfant</c:v>
                </c:pt>
                <c:pt idx="2">
                  <c:v>2 enfants</c:v>
                </c:pt>
                <c:pt idx="3">
                  <c:v>3 enfants ou plus</c:v>
                </c:pt>
              </c:strCache>
            </c:strRef>
          </c:cat>
          <c:val>
            <c:numRef>
              <c:f>'Base de données'!$FW$100:$FZ$100</c:f>
              <c:numCache>
                <c:formatCode>0.0%</c:formatCode>
                <c:ptCount val="4"/>
                <c:pt idx="0">
                  <c:v>0.62609159933364711</c:v>
                </c:pt>
                <c:pt idx="1">
                  <c:v>0.1778385637711937</c:v>
                </c:pt>
                <c:pt idx="2">
                  <c:v>0.13747376969511288</c:v>
                </c:pt>
                <c:pt idx="3">
                  <c:v>5.8596067200046377E-2</c:v>
                </c:pt>
              </c:numCache>
            </c:numRef>
          </c:val>
          <c:extLst>
            <c:ext xmlns:c16="http://schemas.microsoft.com/office/drawing/2014/chart" uri="{C3380CC4-5D6E-409C-BE32-E72D297353CC}">
              <c16:uniqueId val="{00000004-D860-497A-975F-49DBEECBF5BF}"/>
            </c:ext>
          </c:extLst>
        </c:ser>
        <c:ser>
          <c:idx val="1"/>
          <c:order val="1"/>
          <c:tx>
            <c:strRef>
              <c:f>'Base de données'!$FV$101</c:f>
              <c:strCache>
                <c:ptCount val="1"/>
                <c:pt idx="0">
                  <c:v>2020</c:v>
                </c:pt>
              </c:strCache>
            </c:strRef>
          </c:tx>
          <c:spPr>
            <a:solidFill>
              <a:srgbClr val="856176"/>
            </a:solidFill>
            <a:effectLst>
              <a:outerShdw blurRad="50800" dist="38100" dir="2700000" algn="tl" rotWithShape="0">
                <a:prstClr val="black">
                  <a:alpha val="40000"/>
                </a:prstClr>
              </a:outerShdw>
            </a:effectLst>
          </c:spPr>
          <c:invertIfNegative val="0"/>
          <c:dLbls>
            <c:numFmt formatCode="0.0%" sourceLinked="0"/>
            <c:spPr>
              <a:noFill/>
            </c:spPr>
            <c:txPr>
              <a:bodyPr/>
              <a:lstStyle/>
              <a:p>
                <a:pPr>
                  <a:defRPr sz="750">
                    <a:solidFill>
                      <a:schemeClr val="tx1"/>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données'!$FW$99:$FZ$99</c:f>
              <c:strCache>
                <c:ptCount val="4"/>
                <c:pt idx="0">
                  <c:v>Aucun enfant</c:v>
                </c:pt>
                <c:pt idx="1">
                  <c:v>1 enfant</c:v>
                </c:pt>
                <c:pt idx="2">
                  <c:v>2 enfants</c:v>
                </c:pt>
                <c:pt idx="3">
                  <c:v>3 enfants ou plus</c:v>
                </c:pt>
              </c:strCache>
            </c:strRef>
          </c:cat>
          <c:val>
            <c:numRef>
              <c:f>'Base de données'!$FW$101:$FZ$101</c:f>
              <c:numCache>
                <c:formatCode>0.0%</c:formatCode>
                <c:ptCount val="4"/>
                <c:pt idx="0">
                  <c:v>0.54115732104555303</c:v>
                </c:pt>
                <c:pt idx="1">
                  <c:v>0.21392082617800778</c:v>
                </c:pt>
                <c:pt idx="2">
                  <c:v>0.19708955433628408</c:v>
                </c:pt>
                <c:pt idx="3">
                  <c:v>4.7832298440155234E-2</c:v>
                </c:pt>
              </c:numCache>
            </c:numRef>
          </c:val>
          <c:extLst>
            <c:ext xmlns:c16="http://schemas.microsoft.com/office/drawing/2014/chart" uri="{C3380CC4-5D6E-409C-BE32-E72D297353CC}">
              <c16:uniqueId val="{00000005-D860-497A-975F-49DBEECBF5BF}"/>
            </c:ext>
          </c:extLst>
        </c:ser>
        <c:dLbls>
          <c:showLegendKey val="0"/>
          <c:showVal val="1"/>
          <c:showCatName val="0"/>
          <c:showSerName val="0"/>
          <c:showPercent val="0"/>
          <c:showBubbleSize val="0"/>
        </c:dLbls>
        <c:gapWidth val="100"/>
        <c:axId val="120879360"/>
        <c:axId val="120893440"/>
      </c:barChart>
      <c:catAx>
        <c:axId val="120879360"/>
        <c:scaling>
          <c:orientation val="minMax"/>
        </c:scaling>
        <c:delete val="0"/>
        <c:axPos val="b"/>
        <c:numFmt formatCode="General" sourceLinked="0"/>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120893440"/>
        <c:crosses val="autoZero"/>
        <c:auto val="1"/>
        <c:lblAlgn val="ctr"/>
        <c:lblOffset val="100"/>
        <c:noMultiLvlLbl val="0"/>
      </c:catAx>
      <c:valAx>
        <c:axId val="120893440"/>
        <c:scaling>
          <c:orientation val="minMax"/>
        </c:scaling>
        <c:delete val="0"/>
        <c:axPos val="l"/>
        <c:numFmt formatCode="0%" sourceLinked="0"/>
        <c:majorTickMark val="out"/>
        <c:minorTickMark val="none"/>
        <c:tickLblPos val="nextTo"/>
        <c:txPr>
          <a:bodyPr/>
          <a:lstStyle/>
          <a:p>
            <a:pPr>
              <a:defRPr sz="750">
                <a:solidFill>
                  <a:sysClr val="windowText" lastClr="000000"/>
                </a:solidFill>
                <a:latin typeface="Arial Narrow" panose="020B0606020202030204" pitchFamily="34" charset="0"/>
                <a:cs typeface="Tahoma" pitchFamily="34" charset="0"/>
              </a:defRPr>
            </a:pPr>
            <a:endParaRPr lang="fr-FR"/>
          </a:p>
        </c:txPr>
        <c:crossAx val="120879360"/>
        <c:crosses val="autoZero"/>
        <c:crossBetween val="between"/>
      </c:valAx>
      <c:spPr>
        <a:noFill/>
      </c:spPr>
    </c:plotArea>
    <c:legend>
      <c:legendPos val="b"/>
      <c:layout>
        <c:manualLayout>
          <c:xMode val="edge"/>
          <c:yMode val="edge"/>
          <c:x val="0.8605296074517631"/>
          <c:y val="1.6726086667979454E-2"/>
          <c:w val="0.12257070707070709"/>
          <c:h val="0.16835589651457336"/>
        </c:manualLayout>
      </c:layout>
      <c:overlay val="0"/>
      <c:spPr>
        <a:noFill/>
      </c:spPr>
      <c:txPr>
        <a:bodyPr/>
        <a:lstStyle/>
        <a:p>
          <a:pPr>
            <a:defRPr sz="800">
              <a:solidFill>
                <a:sysClr val="windowText" lastClr="000000"/>
              </a:solidFill>
              <a:latin typeface="Arial Narrow" panose="020B0606020202030204" pitchFamily="34" charset="0"/>
              <a:cs typeface="Tahoma" pitchFamily="34" charset="0"/>
            </a:defRPr>
          </a:pPr>
          <a:endParaRPr lang="fr-FR"/>
        </a:p>
      </c:txPr>
    </c:legend>
    <c:plotVisOnly val="1"/>
    <c:dispBlanksAs val="gap"/>
    <c:showDLblsOverMax val="0"/>
  </c:chart>
  <c:spPr>
    <a:solidFill>
      <a:schemeClr val="bg1"/>
    </a:solidFill>
    <a:ln>
      <a:noFill/>
    </a:ln>
  </c:spPr>
  <c:txPr>
    <a:bodyPr/>
    <a:lstStyle/>
    <a:p>
      <a:pPr>
        <a:defRPr>
          <a:solidFill>
            <a:schemeClr val="bg1"/>
          </a:solidFill>
        </a:defRPr>
      </a:pPr>
      <a:endParaRPr lang="fr-FR"/>
    </a:p>
  </c:txPr>
  <c:printSettings>
    <c:headerFooter/>
    <c:pageMargins b="0.75000000000001465" l="0.70000000000000062" r="0.70000000000000062" t="0.75000000000001465" header="0.30000000000000032" footer="0.30000000000000032"/>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Habitat!$K$21</c:f>
          <c:strCache>
            <c:ptCount val="1"/>
            <c:pt idx="0">
              <c:v>Catégorie des logements en 2009 et 2020 Paul Bert</c:v>
            </c:pt>
          </c:strCache>
        </c:strRef>
      </c:tx>
      <c:layout>
        <c:manualLayout>
          <c:xMode val="edge"/>
          <c:yMode val="edge"/>
          <c:x val="3.3064516129032244E-3"/>
          <c:y val="0"/>
        </c:manualLayout>
      </c:layout>
      <c:overlay val="0"/>
      <c:txPr>
        <a:bodyPr/>
        <a:lstStyle/>
        <a:p>
          <a:pPr algn="l">
            <a:defRPr sz="850">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0.12074603174603263"/>
          <c:y val="0.21197076093734241"/>
          <c:w val="0.90773504273504269"/>
          <c:h val="0.43340925776029215"/>
        </c:manualLayout>
      </c:layout>
      <c:barChart>
        <c:barDir val="col"/>
        <c:grouping val="clustered"/>
        <c:varyColors val="0"/>
        <c:ser>
          <c:idx val="0"/>
          <c:order val="0"/>
          <c:tx>
            <c:strRef>
              <c:f>'Base de données'!$GO$100</c:f>
              <c:strCache>
                <c:ptCount val="1"/>
                <c:pt idx="0">
                  <c:v>2009</c:v>
                </c:pt>
              </c:strCache>
            </c:strRef>
          </c:tx>
          <c:spPr>
            <a:solidFill>
              <a:srgbClr val="647586"/>
            </a:solidFill>
            <a:effectLst>
              <a:outerShdw blurRad="50800" dist="38100" dir="2700000" algn="tl" rotWithShape="0">
                <a:prstClr val="black">
                  <a:alpha val="40000"/>
                </a:prstClr>
              </a:outerShdw>
            </a:effectLst>
          </c:spPr>
          <c:invertIfNegative val="0"/>
          <c:dLbls>
            <c:numFmt formatCode="0.0%" sourceLinked="0"/>
            <c:spPr>
              <a:noFill/>
              <a:ln>
                <a:noFill/>
                <a:prstDash val="sysDot"/>
              </a:ln>
            </c:spPr>
            <c:txPr>
              <a:bodyPr anchor="t" anchorCtr="0"/>
              <a:lstStyle/>
              <a:p>
                <a:pPr>
                  <a:defRPr sz="700">
                    <a:solidFill>
                      <a:schemeClr val="tx1"/>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données'!$GP$99:$GR$99</c:f>
              <c:strCache>
                <c:ptCount val="3"/>
                <c:pt idx="0">
                  <c:v>Résidences principales</c:v>
                </c:pt>
                <c:pt idx="1">
                  <c:v>Résidences secondaires et logements occasionnels</c:v>
                </c:pt>
                <c:pt idx="2">
                  <c:v>Logements vacants</c:v>
                </c:pt>
              </c:strCache>
            </c:strRef>
          </c:cat>
          <c:val>
            <c:numRef>
              <c:f>'Base de données'!$GP$100:$GR$100</c:f>
              <c:numCache>
                <c:formatCode>0.0%</c:formatCode>
                <c:ptCount val="3"/>
                <c:pt idx="0">
                  <c:v>0.91161514870200511</c:v>
                </c:pt>
                <c:pt idx="1">
                  <c:v>2.0181132334935691E-2</c:v>
                </c:pt>
                <c:pt idx="2">
                  <c:v>6.8203718963059295E-2</c:v>
                </c:pt>
              </c:numCache>
            </c:numRef>
          </c:val>
          <c:extLst>
            <c:ext xmlns:c16="http://schemas.microsoft.com/office/drawing/2014/chart" uri="{C3380CC4-5D6E-409C-BE32-E72D297353CC}">
              <c16:uniqueId val="{00000000-FF0A-4F2F-A14D-9750629C5979}"/>
            </c:ext>
          </c:extLst>
        </c:ser>
        <c:ser>
          <c:idx val="1"/>
          <c:order val="1"/>
          <c:tx>
            <c:strRef>
              <c:f>'Base de données'!$GO$101</c:f>
              <c:strCache>
                <c:ptCount val="1"/>
                <c:pt idx="0">
                  <c:v>2020</c:v>
                </c:pt>
              </c:strCache>
            </c:strRef>
          </c:tx>
          <c:spPr>
            <a:solidFill>
              <a:srgbClr val="8DB579"/>
            </a:solidFill>
            <a:effectLst>
              <a:outerShdw blurRad="50800" dist="38100" dir="2700000" algn="tl" rotWithShape="0">
                <a:prstClr val="black">
                  <a:alpha val="40000"/>
                </a:prstClr>
              </a:outerShdw>
            </a:effectLst>
          </c:spPr>
          <c:invertIfNegative val="0"/>
          <c:dLbls>
            <c:dLbl>
              <c:idx val="0"/>
              <c:layout>
                <c:manualLayout>
                  <c:x val="9.2825434461405992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F0A-4F2F-A14D-9750629C5979}"/>
                </c:ext>
              </c:extLst>
            </c:dLbl>
            <c:numFmt formatCode="0.0%" sourceLinked="0"/>
            <c:spPr>
              <a:noFill/>
              <a:ln>
                <a:noFill/>
              </a:ln>
            </c:spPr>
            <c:txPr>
              <a:bodyPr anchor="t" anchorCtr="0"/>
              <a:lstStyle/>
              <a:p>
                <a:pPr>
                  <a:defRPr sz="700">
                    <a:solidFill>
                      <a:schemeClr val="tx1"/>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données'!$GP$99:$GR$99</c:f>
              <c:strCache>
                <c:ptCount val="3"/>
                <c:pt idx="0">
                  <c:v>Résidences principales</c:v>
                </c:pt>
                <c:pt idx="1">
                  <c:v>Résidences secondaires et logements occasionnels</c:v>
                </c:pt>
                <c:pt idx="2">
                  <c:v>Logements vacants</c:v>
                </c:pt>
              </c:strCache>
            </c:strRef>
          </c:cat>
          <c:val>
            <c:numRef>
              <c:f>'Base de données'!$GP$101:$GR$101</c:f>
              <c:numCache>
                <c:formatCode>0.0%</c:formatCode>
                <c:ptCount val="3"/>
                <c:pt idx="0">
                  <c:v>0.83060770319747912</c:v>
                </c:pt>
                <c:pt idx="1">
                  <c:v>3.1238821785289524E-2</c:v>
                </c:pt>
                <c:pt idx="2">
                  <c:v>0.13815347501723133</c:v>
                </c:pt>
              </c:numCache>
            </c:numRef>
          </c:val>
          <c:extLst>
            <c:ext xmlns:c16="http://schemas.microsoft.com/office/drawing/2014/chart" uri="{C3380CC4-5D6E-409C-BE32-E72D297353CC}">
              <c16:uniqueId val="{00000002-FF0A-4F2F-A14D-9750629C5979}"/>
            </c:ext>
          </c:extLst>
        </c:ser>
        <c:dLbls>
          <c:showLegendKey val="0"/>
          <c:showVal val="0"/>
          <c:showCatName val="0"/>
          <c:showSerName val="0"/>
          <c:showPercent val="0"/>
          <c:showBubbleSize val="0"/>
        </c:dLbls>
        <c:gapWidth val="100"/>
        <c:axId val="120799232"/>
        <c:axId val="120800768"/>
      </c:barChart>
      <c:catAx>
        <c:axId val="120799232"/>
        <c:scaling>
          <c:orientation val="minMax"/>
        </c:scaling>
        <c:delete val="0"/>
        <c:axPos val="b"/>
        <c:numFmt formatCode="General" sourceLinked="0"/>
        <c:majorTickMark val="out"/>
        <c:minorTickMark val="none"/>
        <c:tickLblPos val="nextTo"/>
        <c:txPr>
          <a:bodyPr rot="0" vert="horz" anchor="ctr" anchorCtr="0"/>
          <a:lstStyle/>
          <a:p>
            <a:pPr>
              <a:defRPr sz="700">
                <a:solidFill>
                  <a:sysClr val="windowText" lastClr="000000"/>
                </a:solidFill>
                <a:latin typeface="Arial Narrow" panose="020B0606020202030204" pitchFamily="34" charset="0"/>
                <a:cs typeface="Tahoma" pitchFamily="34" charset="0"/>
              </a:defRPr>
            </a:pPr>
            <a:endParaRPr lang="fr-FR"/>
          </a:p>
        </c:txPr>
        <c:crossAx val="120800768"/>
        <c:crosses val="autoZero"/>
        <c:auto val="1"/>
        <c:lblAlgn val="ctr"/>
        <c:lblOffset val="100"/>
        <c:noMultiLvlLbl val="0"/>
      </c:catAx>
      <c:valAx>
        <c:axId val="120800768"/>
        <c:scaling>
          <c:orientation val="minMax"/>
          <c:max val="1"/>
        </c:scaling>
        <c:delete val="0"/>
        <c:axPos val="l"/>
        <c:numFmt formatCode="0%" sourceLinked="0"/>
        <c:majorTickMark val="out"/>
        <c:minorTickMark val="none"/>
        <c:tickLblPos val="nextTo"/>
        <c:txPr>
          <a:bodyPr/>
          <a:lstStyle/>
          <a:p>
            <a:pPr>
              <a:defRPr sz="800">
                <a:solidFill>
                  <a:sysClr val="windowText" lastClr="000000"/>
                </a:solidFill>
                <a:latin typeface="Arial Narrow" panose="020B0606020202030204" pitchFamily="34" charset="0"/>
                <a:cs typeface="Tahoma" pitchFamily="34" charset="0"/>
              </a:defRPr>
            </a:pPr>
            <a:endParaRPr lang="fr-FR"/>
          </a:p>
        </c:txPr>
        <c:crossAx val="120799232"/>
        <c:crosses val="autoZero"/>
        <c:crossBetween val="between"/>
        <c:majorUnit val="0.2"/>
      </c:valAx>
    </c:plotArea>
    <c:legend>
      <c:legendPos val="b"/>
      <c:layout>
        <c:manualLayout>
          <c:xMode val="edge"/>
          <c:yMode val="edge"/>
          <c:x val="0.86734164286975257"/>
          <c:y val="1.0399286477384974E-2"/>
          <c:w val="0.11833222222222274"/>
          <c:h val="0.1963571457210842"/>
        </c:manualLayout>
      </c:layout>
      <c:overlay val="0"/>
      <c:txPr>
        <a:bodyPr/>
        <a:lstStyle/>
        <a:p>
          <a:pPr>
            <a:defRPr sz="800">
              <a:solidFill>
                <a:sysClr val="windowText" lastClr="000000"/>
              </a:solidFill>
              <a:latin typeface="Arial Narrow" panose="020B0606020202030204" pitchFamily="34" charset="0"/>
              <a:cs typeface="Tahoma" pitchFamily="34" charset="0"/>
            </a:defRPr>
          </a:pPr>
          <a:endParaRPr lang="fr-FR"/>
        </a:p>
      </c:txPr>
    </c:legend>
    <c:plotVisOnly val="1"/>
    <c:dispBlanksAs val="gap"/>
    <c:showDLblsOverMax val="0"/>
  </c:chart>
  <c:spPr>
    <a:solidFill>
      <a:schemeClr val="bg1"/>
    </a:solidFill>
    <a:ln>
      <a:noFill/>
    </a:ln>
  </c:spPr>
  <c:txPr>
    <a:bodyPr/>
    <a:lstStyle/>
    <a:p>
      <a:pPr>
        <a:defRPr>
          <a:solidFill>
            <a:schemeClr val="bg1"/>
          </a:solidFill>
        </a:defRPr>
      </a:pPr>
      <a:endParaRPr lang="fr-FR"/>
    </a:p>
  </c:txPr>
  <c:printSettings>
    <c:headerFooter/>
    <c:pageMargins b="0.75000000000001465" l="0.70000000000000062" r="0.70000000000000062" t="0.75000000000001465" header="0.30000000000000032" footer="0.30000000000000032"/>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Habitat!$L$31</c:f>
          <c:strCache>
            <c:ptCount val="1"/>
            <c:pt idx="0">
              <c:v>Typologie des logements en 2009 et 2020 Paul Bert</c:v>
            </c:pt>
          </c:strCache>
        </c:strRef>
      </c:tx>
      <c:layout>
        <c:manualLayout>
          <c:xMode val="edge"/>
          <c:yMode val="edge"/>
          <c:x val="3.3064516129032244E-3"/>
          <c:y val="0"/>
        </c:manualLayout>
      </c:layout>
      <c:overlay val="0"/>
      <c:spPr>
        <a:solidFill>
          <a:schemeClr val="bg1"/>
        </a:solidFill>
      </c:spPr>
      <c:txPr>
        <a:bodyPr/>
        <a:lstStyle/>
        <a:p>
          <a:pPr algn="l">
            <a:defRPr sz="850" b="1">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0.13672712418300653"/>
          <c:y val="0.2046941537874061"/>
          <c:w val="0.90773504273504269"/>
          <c:h val="0.6612762997739523"/>
        </c:manualLayout>
      </c:layout>
      <c:barChart>
        <c:barDir val="col"/>
        <c:grouping val="clustered"/>
        <c:varyColors val="0"/>
        <c:ser>
          <c:idx val="0"/>
          <c:order val="0"/>
          <c:tx>
            <c:strRef>
              <c:f>'Base de données'!$GZ$100</c:f>
              <c:strCache>
                <c:ptCount val="1"/>
                <c:pt idx="0">
                  <c:v>2009</c:v>
                </c:pt>
              </c:strCache>
            </c:strRef>
          </c:tx>
          <c:spPr>
            <a:solidFill>
              <a:srgbClr val="647586"/>
            </a:solidFill>
            <a:effectLst>
              <a:outerShdw blurRad="50800" dist="38100" dir="2700000" algn="tl" rotWithShape="0">
                <a:prstClr val="black">
                  <a:alpha val="40000"/>
                </a:prstClr>
              </a:outerShdw>
            </a:effectLst>
          </c:spPr>
          <c:invertIfNegative val="0"/>
          <c:dLbls>
            <c:numFmt formatCode="0.0%" sourceLinked="0"/>
            <c:spPr>
              <a:noFill/>
              <a:ln>
                <a:noFill/>
              </a:ln>
              <a:effectLst/>
            </c:spPr>
            <c:txPr>
              <a:bodyPr anchor="t" anchorCtr="0"/>
              <a:lstStyle/>
              <a:p>
                <a:pPr>
                  <a:defRPr sz="700">
                    <a:solidFill>
                      <a:schemeClr val="tx1"/>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Habitat!$E$31:$G$31</c:f>
              <c:strCache>
                <c:ptCount val="3"/>
                <c:pt idx="0">
                  <c:v>Individuel</c:v>
                </c:pt>
                <c:pt idx="1">
                  <c:v>Collectif</c:v>
                </c:pt>
                <c:pt idx="2">
                  <c:v>Autre</c:v>
                </c:pt>
              </c:strCache>
            </c:strRef>
          </c:cat>
          <c:val>
            <c:numRef>
              <c:f>'Base de données'!$HA$100:$HC$100</c:f>
              <c:numCache>
                <c:formatCode>0.0%</c:formatCode>
                <c:ptCount val="3"/>
                <c:pt idx="0">
                  <c:v>0.32491219428555679</c:v>
                </c:pt>
                <c:pt idx="1">
                  <c:v>0.66584129343962672</c:v>
                </c:pt>
                <c:pt idx="2">
                  <c:v>9.2465122748165169E-3</c:v>
                </c:pt>
              </c:numCache>
            </c:numRef>
          </c:val>
          <c:extLst>
            <c:ext xmlns:c16="http://schemas.microsoft.com/office/drawing/2014/chart" uri="{C3380CC4-5D6E-409C-BE32-E72D297353CC}">
              <c16:uniqueId val="{00000000-4D63-44C0-8381-060E314E8190}"/>
            </c:ext>
          </c:extLst>
        </c:ser>
        <c:ser>
          <c:idx val="1"/>
          <c:order val="1"/>
          <c:tx>
            <c:strRef>
              <c:f>'Base de données'!$GZ$101</c:f>
              <c:strCache>
                <c:ptCount val="1"/>
                <c:pt idx="0">
                  <c:v>2020</c:v>
                </c:pt>
              </c:strCache>
            </c:strRef>
          </c:tx>
          <c:spPr>
            <a:solidFill>
              <a:srgbClr val="8DB579"/>
            </a:solidFill>
            <a:effectLst>
              <a:outerShdw blurRad="50800" dist="38100" dir="2700000" algn="tl" rotWithShape="0">
                <a:prstClr val="black">
                  <a:alpha val="40000"/>
                </a:prstClr>
              </a:outerShdw>
            </a:effectLst>
          </c:spPr>
          <c:invertIfNegative val="0"/>
          <c:dLbls>
            <c:numFmt formatCode="0.0%" sourceLinked="0"/>
            <c:spPr>
              <a:noFill/>
              <a:ln>
                <a:noFill/>
              </a:ln>
              <a:effectLst/>
            </c:spPr>
            <c:txPr>
              <a:bodyPr anchor="t" anchorCtr="0"/>
              <a:lstStyle/>
              <a:p>
                <a:pPr>
                  <a:defRPr sz="700">
                    <a:solidFill>
                      <a:schemeClr val="tx1"/>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Habitat!$E$31:$G$31</c:f>
              <c:strCache>
                <c:ptCount val="3"/>
                <c:pt idx="0">
                  <c:v>Individuel</c:v>
                </c:pt>
                <c:pt idx="1">
                  <c:v>Collectif</c:v>
                </c:pt>
                <c:pt idx="2">
                  <c:v>Autre</c:v>
                </c:pt>
              </c:strCache>
            </c:strRef>
          </c:cat>
          <c:val>
            <c:numRef>
              <c:f>'Base de données'!$HA$101:$HC$101</c:f>
              <c:numCache>
                <c:formatCode>0.0%</c:formatCode>
                <c:ptCount val="3"/>
                <c:pt idx="0">
                  <c:v>0.30442201636326283</c:v>
                </c:pt>
                <c:pt idx="1">
                  <c:v>0.68660383846188933</c:v>
                </c:pt>
                <c:pt idx="2">
                  <c:v>8.9741451748478421E-3</c:v>
                </c:pt>
              </c:numCache>
            </c:numRef>
          </c:val>
          <c:extLst>
            <c:ext xmlns:c16="http://schemas.microsoft.com/office/drawing/2014/chart" uri="{C3380CC4-5D6E-409C-BE32-E72D297353CC}">
              <c16:uniqueId val="{00000001-4D63-44C0-8381-060E314E8190}"/>
            </c:ext>
          </c:extLst>
        </c:ser>
        <c:dLbls>
          <c:showLegendKey val="0"/>
          <c:showVal val="0"/>
          <c:showCatName val="0"/>
          <c:showSerName val="0"/>
          <c:showPercent val="0"/>
          <c:showBubbleSize val="0"/>
        </c:dLbls>
        <c:gapWidth val="100"/>
        <c:axId val="120528896"/>
        <c:axId val="120530432"/>
      </c:barChart>
      <c:catAx>
        <c:axId val="120528896"/>
        <c:scaling>
          <c:orientation val="minMax"/>
        </c:scaling>
        <c:delete val="0"/>
        <c:axPos val="b"/>
        <c:numFmt formatCode="General" sourceLinked="0"/>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120530432"/>
        <c:crosses val="autoZero"/>
        <c:auto val="1"/>
        <c:lblAlgn val="ctr"/>
        <c:lblOffset val="100"/>
        <c:noMultiLvlLbl val="0"/>
      </c:catAx>
      <c:valAx>
        <c:axId val="120530432"/>
        <c:scaling>
          <c:orientation val="minMax"/>
          <c:max val="1"/>
          <c:min val="0"/>
        </c:scaling>
        <c:delete val="0"/>
        <c:axPos val="l"/>
        <c:numFmt formatCode="0%" sourceLinked="0"/>
        <c:majorTickMark val="out"/>
        <c:minorTickMark val="none"/>
        <c:tickLblPos val="nextTo"/>
        <c:txPr>
          <a:bodyPr/>
          <a:lstStyle/>
          <a:p>
            <a:pPr>
              <a:defRPr sz="800">
                <a:solidFill>
                  <a:sysClr val="windowText" lastClr="000000"/>
                </a:solidFill>
                <a:latin typeface="Arial Narrow" panose="020B0606020202030204" pitchFamily="34" charset="0"/>
                <a:cs typeface="Tahoma" pitchFamily="34" charset="0"/>
              </a:defRPr>
            </a:pPr>
            <a:endParaRPr lang="fr-FR"/>
          </a:p>
        </c:txPr>
        <c:crossAx val="120528896"/>
        <c:crosses val="autoZero"/>
        <c:crossBetween val="between"/>
        <c:majorUnit val="0.2"/>
      </c:valAx>
    </c:plotArea>
    <c:legend>
      <c:legendPos val="b"/>
      <c:layout>
        <c:manualLayout>
          <c:xMode val="edge"/>
          <c:yMode val="edge"/>
          <c:x val="0.84611506543485926"/>
          <c:y val="5.7940130633243533E-3"/>
          <c:w val="0.15388493456514077"/>
          <c:h val="0.18445482866043614"/>
        </c:manualLayout>
      </c:layout>
      <c:overlay val="0"/>
      <c:txPr>
        <a:bodyPr/>
        <a:lstStyle/>
        <a:p>
          <a:pPr>
            <a:defRPr sz="800">
              <a:solidFill>
                <a:sysClr val="windowText" lastClr="000000"/>
              </a:solidFill>
              <a:latin typeface="Arial Narrow" panose="020B0606020202030204" pitchFamily="34" charset="0"/>
              <a:cs typeface="Tahoma" pitchFamily="34" charset="0"/>
            </a:defRPr>
          </a:pPr>
          <a:endParaRPr lang="fr-FR"/>
        </a:p>
      </c:txPr>
    </c:legend>
    <c:plotVisOnly val="1"/>
    <c:dispBlanksAs val="gap"/>
    <c:showDLblsOverMax val="0"/>
  </c:chart>
  <c:spPr>
    <a:solidFill>
      <a:schemeClr val="bg1"/>
    </a:solidFill>
    <a:ln>
      <a:noFill/>
    </a:ln>
  </c:spPr>
  <c:txPr>
    <a:bodyPr/>
    <a:lstStyle/>
    <a:p>
      <a:pPr>
        <a:defRPr>
          <a:solidFill>
            <a:schemeClr val="bg1"/>
          </a:solidFill>
        </a:defRPr>
      </a:pPr>
      <a:endParaRPr lang="fr-FR"/>
    </a:p>
  </c:txPr>
  <c:printSettings>
    <c:headerFooter/>
    <c:pageMargins b="0.75000000000001465" l="0.70000000000000062" r="0.70000000000000062" t="0.75000000000001465" header="0.30000000000000032" footer="0.30000000000000032"/>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Habitat!$L$53</c:f>
          <c:strCache>
            <c:ptCount val="1"/>
            <c:pt idx="0">
              <c:v>Taille des résidences principales en 
2009 et 2020 Paul Bert</c:v>
            </c:pt>
          </c:strCache>
        </c:strRef>
      </c:tx>
      <c:layout>
        <c:manualLayout>
          <c:xMode val="edge"/>
          <c:yMode val="edge"/>
          <c:x val="3.3064516129032244E-3"/>
          <c:y val="0"/>
        </c:manualLayout>
      </c:layout>
      <c:overlay val="0"/>
      <c:txPr>
        <a:bodyPr/>
        <a:lstStyle/>
        <a:p>
          <a:pPr algn="l">
            <a:defRPr sz="850">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9.93729166666667E-2"/>
          <c:y val="0.26356520721534032"/>
          <c:w val="0.88309068627451393"/>
          <c:h val="0.61141192967317592"/>
        </c:manualLayout>
      </c:layout>
      <c:barChart>
        <c:barDir val="col"/>
        <c:grouping val="clustered"/>
        <c:varyColors val="0"/>
        <c:ser>
          <c:idx val="0"/>
          <c:order val="0"/>
          <c:tx>
            <c:strRef>
              <c:f>'Base de données'!$IP$100</c:f>
              <c:strCache>
                <c:ptCount val="1"/>
                <c:pt idx="0">
                  <c:v>2009</c:v>
                </c:pt>
              </c:strCache>
            </c:strRef>
          </c:tx>
          <c:spPr>
            <a:solidFill>
              <a:srgbClr val="647586"/>
            </a:solidFill>
            <a:effectLst>
              <a:outerShdw blurRad="50800" dist="38100" dir="2700000" algn="tl" rotWithShape="0">
                <a:prstClr val="black">
                  <a:alpha val="40000"/>
                </a:prstClr>
              </a:outerShdw>
            </a:effectLst>
          </c:spPr>
          <c:invertIfNegative val="0"/>
          <c:dLbls>
            <c:numFmt formatCode="0%" sourceLinked="0"/>
            <c:spPr>
              <a:noFill/>
              <a:ln>
                <a:noFill/>
              </a:ln>
              <a:effectLst/>
            </c:spPr>
            <c:txPr>
              <a:bodyPr anchor="t" anchorCtr="0"/>
              <a:lstStyle/>
              <a:p>
                <a:pPr>
                  <a:defRPr sz="700">
                    <a:solidFill>
                      <a:schemeClr val="tx1"/>
                    </a:solidFill>
                    <a:latin typeface="Arial Narrow" panose="020B0606020202030204" pitchFamily="34" charset="0"/>
                    <a:cs typeface="Tahoma"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données'!$IQ$99:$IU$99</c:f>
              <c:strCache>
                <c:ptCount val="5"/>
                <c:pt idx="0">
                  <c:v>1 pièce</c:v>
                </c:pt>
                <c:pt idx="1">
                  <c:v>2 pièces</c:v>
                </c:pt>
                <c:pt idx="2">
                  <c:v>3 pièces</c:v>
                </c:pt>
                <c:pt idx="3">
                  <c:v>4 pièces</c:v>
                </c:pt>
                <c:pt idx="4">
                  <c:v>5 pièces ou plus</c:v>
                </c:pt>
              </c:strCache>
            </c:strRef>
          </c:cat>
          <c:val>
            <c:numRef>
              <c:f>'Base de données'!$IQ$100:$IU$100</c:f>
              <c:numCache>
                <c:formatCode>0.0%</c:formatCode>
                <c:ptCount val="5"/>
                <c:pt idx="0">
                  <c:v>0.16118733732310844</c:v>
                </c:pt>
                <c:pt idx="1">
                  <c:v>0.31239144553215892</c:v>
                </c:pt>
                <c:pt idx="2">
                  <c:v>0.21512255470210936</c:v>
                </c:pt>
                <c:pt idx="3">
                  <c:v>0.1148006118390503</c:v>
                </c:pt>
                <c:pt idx="4">
                  <c:v>0.19649805060357292</c:v>
                </c:pt>
              </c:numCache>
            </c:numRef>
          </c:val>
          <c:extLst>
            <c:ext xmlns:c16="http://schemas.microsoft.com/office/drawing/2014/chart" uri="{C3380CC4-5D6E-409C-BE32-E72D297353CC}">
              <c16:uniqueId val="{00000000-776F-4FC5-9A6D-A8415637B482}"/>
            </c:ext>
          </c:extLst>
        </c:ser>
        <c:ser>
          <c:idx val="1"/>
          <c:order val="1"/>
          <c:tx>
            <c:strRef>
              <c:f>'Base de données'!$IP$101</c:f>
              <c:strCache>
                <c:ptCount val="1"/>
                <c:pt idx="0">
                  <c:v>2020</c:v>
                </c:pt>
              </c:strCache>
            </c:strRef>
          </c:tx>
          <c:spPr>
            <a:solidFill>
              <a:srgbClr val="8DB579"/>
            </a:solidFill>
            <a:effectLst>
              <a:outerShdw blurRad="50800" dist="38100" dir="2700000" algn="tl" rotWithShape="0">
                <a:prstClr val="black">
                  <a:alpha val="40000"/>
                </a:prstClr>
              </a:outerShdw>
            </a:effectLst>
          </c:spPr>
          <c:invertIfNegative val="0"/>
          <c:dLbls>
            <c:numFmt formatCode="0%" sourceLinked="0"/>
            <c:spPr>
              <a:noFill/>
              <a:ln>
                <a:noFill/>
              </a:ln>
              <a:effectLst/>
            </c:spPr>
            <c:txPr>
              <a:bodyPr anchor="t" anchorCtr="0"/>
              <a:lstStyle/>
              <a:p>
                <a:pPr>
                  <a:defRPr sz="700">
                    <a:solidFill>
                      <a:schemeClr val="tx1"/>
                    </a:solidFill>
                    <a:latin typeface="Arial Narrow" panose="020B0606020202030204" pitchFamily="34" charset="0"/>
                    <a:cs typeface="Tahoma"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données'!$IQ$99:$IU$99</c:f>
              <c:strCache>
                <c:ptCount val="5"/>
                <c:pt idx="0">
                  <c:v>1 pièce</c:v>
                </c:pt>
                <c:pt idx="1">
                  <c:v>2 pièces</c:v>
                </c:pt>
                <c:pt idx="2">
                  <c:v>3 pièces</c:v>
                </c:pt>
                <c:pt idx="3">
                  <c:v>4 pièces</c:v>
                </c:pt>
                <c:pt idx="4">
                  <c:v>5 pièces ou plus</c:v>
                </c:pt>
              </c:strCache>
            </c:strRef>
          </c:cat>
          <c:val>
            <c:numRef>
              <c:f>'Base de données'!$IQ$101:$IU$101</c:f>
              <c:numCache>
                <c:formatCode>0.0%</c:formatCode>
                <c:ptCount val="5"/>
                <c:pt idx="0">
                  <c:v>0.15079793529159594</c:v>
                </c:pt>
                <c:pt idx="1">
                  <c:v>0.30109460995343179</c:v>
                </c:pt>
                <c:pt idx="2">
                  <c:v>0.22269480883513051</c:v>
                </c:pt>
                <c:pt idx="3">
                  <c:v>0.13562789318372159</c:v>
                </c:pt>
                <c:pt idx="4">
                  <c:v>0.18978475273612028</c:v>
                </c:pt>
              </c:numCache>
            </c:numRef>
          </c:val>
          <c:extLst>
            <c:ext xmlns:c16="http://schemas.microsoft.com/office/drawing/2014/chart" uri="{C3380CC4-5D6E-409C-BE32-E72D297353CC}">
              <c16:uniqueId val="{00000001-776F-4FC5-9A6D-A8415637B482}"/>
            </c:ext>
          </c:extLst>
        </c:ser>
        <c:dLbls>
          <c:showLegendKey val="0"/>
          <c:showVal val="0"/>
          <c:showCatName val="0"/>
          <c:showSerName val="0"/>
          <c:showPercent val="0"/>
          <c:showBubbleSize val="0"/>
        </c:dLbls>
        <c:gapWidth val="100"/>
        <c:axId val="120918016"/>
        <c:axId val="120919552"/>
      </c:barChart>
      <c:catAx>
        <c:axId val="120918016"/>
        <c:scaling>
          <c:orientation val="minMax"/>
        </c:scaling>
        <c:delete val="0"/>
        <c:axPos val="b"/>
        <c:numFmt formatCode="General" sourceLinked="0"/>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120919552"/>
        <c:crosses val="autoZero"/>
        <c:auto val="1"/>
        <c:lblAlgn val="ctr"/>
        <c:lblOffset val="100"/>
        <c:noMultiLvlLbl val="0"/>
      </c:catAx>
      <c:valAx>
        <c:axId val="120919552"/>
        <c:scaling>
          <c:orientation val="minMax"/>
        </c:scaling>
        <c:delete val="0"/>
        <c:axPos val="l"/>
        <c:numFmt formatCode="0%" sourceLinked="0"/>
        <c:majorTickMark val="out"/>
        <c:minorTickMark val="none"/>
        <c:tickLblPos val="nextTo"/>
        <c:txPr>
          <a:bodyPr/>
          <a:lstStyle/>
          <a:p>
            <a:pPr>
              <a:defRPr sz="750">
                <a:solidFill>
                  <a:sysClr val="windowText" lastClr="000000"/>
                </a:solidFill>
                <a:latin typeface="Arial Narrow" panose="020B0606020202030204" pitchFamily="34" charset="0"/>
                <a:cs typeface="Tahoma" pitchFamily="34" charset="0"/>
              </a:defRPr>
            </a:pPr>
            <a:endParaRPr lang="fr-FR"/>
          </a:p>
        </c:txPr>
        <c:crossAx val="120918016"/>
        <c:crosses val="autoZero"/>
        <c:crossBetween val="between"/>
      </c:valAx>
    </c:plotArea>
    <c:legend>
      <c:legendPos val="b"/>
      <c:layout>
        <c:manualLayout>
          <c:xMode val="edge"/>
          <c:yMode val="edge"/>
          <c:x val="0.80920467361869208"/>
          <c:y val="7.4018716346643874E-4"/>
          <c:w val="0.19079532638130794"/>
          <c:h val="0.16817375846174554"/>
        </c:manualLayout>
      </c:layout>
      <c:overlay val="0"/>
      <c:txPr>
        <a:bodyPr/>
        <a:lstStyle/>
        <a:p>
          <a:pPr>
            <a:defRPr sz="800">
              <a:solidFill>
                <a:sysClr val="windowText" lastClr="000000"/>
              </a:solidFill>
              <a:latin typeface="Arial Narrow" panose="020B0606020202030204" pitchFamily="34" charset="0"/>
              <a:cs typeface="Tahoma" pitchFamily="34" charset="0"/>
            </a:defRPr>
          </a:pPr>
          <a:endParaRPr lang="fr-FR"/>
        </a:p>
      </c:txPr>
    </c:legend>
    <c:plotVisOnly val="1"/>
    <c:dispBlanksAs val="gap"/>
    <c:showDLblsOverMax val="0"/>
  </c:chart>
  <c:spPr>
    <a:solidFill>
      <a:schemeClr val="bg1"/>
    </a:solidFill>
    <a:ln>
      <a:noFill/>
    </a:ln>
  </c:spPr>
  <c:txPr>
    <a:bodyPr/>
    <a:lstStyle/>
    <a:p>
      <a:pPr>
        <a:defRPr>
          <a:solidFill>
            <a:schemeClr val="bg1"/>
          </a:solidFill>
        </a:defRPr>
      </a:pPr>
      <a:endParaRPr lang="fr-FR"/>
    </a:p>
  </c:txPr>
  <c:printSettings>
    <c:headerFooter/>
    <c:pageMargins b="0.75000000000001465" l="0.70000000000000062" r="0.70000000000000062" t="0.75000000000001465"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Habitat!$L$62</c:f>
          <c:strCache>
            <c:ptCount val="1"/>
            <c:pt idx="0">
              <c:v>Statut d'occupation en 2009 et 2020 Paul Bert</c:v>
            </c:pt>
          </c:strCache>
        </c:strRef>
      </c:tx>
      <c:layout>
        <c:manualLayout>
          <c:xMode val="edge"/>
          <c:yMode val="edge"/>
          <c:x val="2.3963022111261672E-4"/>
          <c:y val="3.0652990215501139E-4"/>
        </c:manualLayout>
      </c:layout>
      <c:overlay val="0"/>
      <c:txPr>
        <a:bodyPr/>
        <a:lstStyle/>
        <a:p>
          <a:pPr algn="l">
            <a:defRPr sz="850">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0.10324458874458876"/>
          <c:y val="0.20216352723435793"/>
          <c:w val="0.90773504273504269"/>
          <c:h val="0.65011626741363937"/>
        </c:manualLayout>
      </c:layout>
      <c:barChart>
        <c:barDir val="col"/>
        <c:grouping val="clustered"/>
        <c:varyColors val="0"/>
        <c:ser>
          <c:idx val="0"/>
          <c:order val="0"/>
          <c:tx>
            <c:strRef>
              <c:f>'Base de données'!$JJ$100</c:f>
              <c:strCache>
                <c:ptCount val="1"/>
                <c:pt idx="0">
                  <c:v>2009</c:v>
                </c:pt>
              </c:strCache>
            </c:strRef>
          </c:tx>
          <c:spPr>
            <a:solidFill>
              <a:srgbClr val="647586"/>
            </a:solidFill>
            <a:effectLst>
              <a:outerShdw blurRad="50800" dist="38100" dir="2700000" algn="tl" rotWithShape="0">
                <a:prstClr val="black">
                  <a:alpha val="40000"/>
                </a:prstClr>
              </a:outerShdw>
            </a:effectLst>
          </c:spPr>
          <c:invertIfNegative val="0"/>
          <c:dLbls>
            <c:dLbl>
              <c:idx val="0"/>
              <c:layout>
                <c:manualLayout>
                  <c:x val="-1.3925438596491228E-2"/>
                  <c:y val="2.593742341311988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954-4AFB-9109-06C62B08D9FC}"/>
                </c:ext>
              </c:extLst>
            </c:dLbl>
            <c:dLbl>
              <c:idx val="1"/>
              <c:layout>
                <c:manualLayout>
                  <c:x val="-1.8567616959064327E-2"/>
                  <c:y val="2.59374234131198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954-4AFB-9109-06C62B08D9FC}"/>
                </c:ext>
              </c:extLst>
            </c:dLbl>
            <c:dLbl>
              <c:idx val="2"/>
              <c:layout>
                <c:manualLayout>
                  <c:x val="-9.2836257309941526E-3"/>
                  <c:y val="2.59374234131198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B954-4AFB-9109-06C62B08D9FC}"/>
                </c:ext>
              </c:extLst>
            </c:dLbl>
            <c:dLbl>
              <c:idx val="3"/>
              <c:layout>
                <c:manualLayout>
                  <c:x val="-1.3925438596491228E-2"/>
                  <c:y val="2.59374234131198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B954-4AFB-9109-06C62B08D9FC}"/>
                </c:ext>
              </c:extLst>
            </c:dLbl>
            <c:numFmt formatCode="0.0%" sourceLinked="0"/>
            <c:spPr>
              <a:noFill/>
              <a:ln>
                <a:noFill/>
              </a:ln>
              <a:effectLst/>
            </c:spPr>
            <c:txPr>
              <a:bodyPr/>
              <a:lstStyle/>
              <a:p>
                <a:pPr>
                  <a:defRPr sz="700">
                    <a:solidFill>
                      <a:schemeClr val="tx1"/>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de données'!$JK$99:$JN$99</c:f>
              <c:strCache>
                <c:ptCount val="4"/>
                <c:pt idx="0">
                  <c:v>Propriétaire</c:v>
                </c:pt>
                <c:pt idx="1">
                  <c:v>Locataire privé</c:v>
                </c:pt>
                <c:pt idx="2">
                  <c:v>Locataire HLM</c:v>
                </c:pt>
                <c:pt idx="3">
                  <c:v>Logé gratuitement</c:v>
                </c:pt>
              </c:strCache>
            </c:strRef>
          </c:cat>
          <c:val>
            <c:numRef>
              <c:f>'Base de données'!$JK$100:$JN$100</c:f>
              <c:numCache>
                <c:formatCode>0.0%</c:formatCode>
                <c:ptCount val="4"/>
                <c:pt idx="0">
                  <c:v>0.4380262746948681</c:v>
                </c:pt>
                <c:pt idx="1">
                  <c:v>0.53582134616266408</c:v>
                </c:pt>
                <c:pt idx="2">
                  <c:v>7.2497627828184827E-3</c:v>
                </c:pt>
                <c:pt idx="3">
                  <c:v>1.89026163596493E-2</c:v>
                </c:pt>
              </c:numCache>
            </c:numRef>
          </c:val>
          <c:extLst>
            <c:ext xmlns:c16="http://schemas.microsoft.com/office/drawing/2014/chart" uri="{C3380CC4-5D6E-409C-BE32-E72D297353CC}">
              <c16:uniqueId val="{00000004-B954-4AFB-9109-06C62B08D9FC}"/>
            </c:ext>
          </c:extLst>
        </c:ser>
        <c:ser>
          <c:idx val="1"/>
          <c:order val="1"/>
          <c:tx>
            <c:strRef>
              <c:f>'Base de données'!$JJ$101</c:f>
              <c:strCache>
                <c:ptCount val="1"/>
                <c:pt idx="0">
                  <c:v>2020</c:v>
                </c:pt>
              </c:strCache>
            </c:strRef>
          </c:tx>
          <c:spPr>
            <a:solidFill>
              <a:srgbClr val="8DB579"/>
            </a:solidFill>
            <a:effectLst>
              <a:outerShdw blurRad="50800" dist="38100" dir="2700000" algn="tl" rotWithShape="0">
                <a:prstClr val="black">
                  <a:alpha val="40000"/>
                </a:prstClr>
              </a:outerShdw>
            </a:effectLst>
          </c:spPr>
          <c:invertIfNegative val="0"/>
          <c:dLbls>
            <c:dLbl>
              <c:idx val="0"/>
              <c:layout>
                <c:manualLayout>
                  <c:x val="1.8567251461988305E-2"/>
                  <c:y val="1.72916156087465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954-4AFB-9109-06C62B08D9FC}"/>
                </c:ext>
              </c:extLst>
            </c:dLbl>
            <c:dLbl>
              <c:idx val="1"/>
              <c:layout>
                <c:manualLayout>
                  <c:x val="1.3925438596491228E-2"/>
                  <c:y val="2.59374234131198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954-4AFB-9109-06C62B08D9FC}"/>
                </c:ext>
              </c:extLst>
            </c:dLbl>
            <c:dLbl>
              <c:idx val="2"/>
              <c:layout>
                <c:manualLayout>
                  <c:x val="1.3925438596491228E-2"/>
                  <c:y val="1.72916156087465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B954-4AFB-9109-06C62B08D9FC}"/>
                </c:ext>
              </c:extLst>
            </c:dLbl>
            <c:dLbl>
              <c:idx val="3"/>
              <c:layout>
                <c:manualLayout>
                  <c:x val="4.6418128654970763E-3"/>
                  <c:y val="2.59374234131198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B954-4AFB-9109-06C62B08D9FC}"/>
                </c:ext>
              </c:extLst>
            </c:dLbl>
            <c:numFmt formatCode="0.0%" sourceLinked="0"/>
            <c:spPr>
              <a:noFill/>
              <a:ln>
                <a:noFill/>
              </a:ln>
              <a:effectLst/>
            </c:spPr>
            <c:txPr>
              <a:bodyPr/>
              <a:lstStyle/>
              <a:p>
                <a:pPr>
                  <a:defRPr sz="700">
                    <a:solidFill>
                      <a:schemeClr val="tx1"/>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de données'!$JK$99:$JN$99</c:f>
              <c:strCache>
                <c:ptCount val="4"/>
                <c:pt idx="0">
                  <c:v>Propriétaire</c:v>
                </c:pt>
                <c:pt idx="1">
                  <c:v>Locataire privé</c:v>
                </c:pt>
                <c:pt idx="2">
                  <c:v>Locataire HLM</c:v>
                </c:pt>
                <c:pt idx="3">
                  <c:v>Logé gratuitement</c:v>
                </c:pt>
              </c:strCache>
            </c:strRef>
          </c:cat>
          <c:val>
            <c:numRef>
              <c:f>'Base de données'!$JK$101:$JN$101</c:f>
              <c:numCache>
                <c:formatCode>0.0%</c:formatCode>
                <c:ptCount val="4"/>
                <c:pt idx="0">
                  <c:v>0.4273828494290553</c:v>
                </c:pt>
                <c:pt idx="1">
                  <c:v>0.52788001296038933</c:v>
                </c:pt>
                <c:pt idx="2">
                  <c:v>3.2317376747833387E-2</c:v>
                </c:pt>
                <c:pt idx="3">
                  <c:v>1.2419760862721998E-2</c:v>
                </c:pt>
              </c:numCache>
            </c:numRef>
          </c:val>
          <c:extLst>
            <c:ext xmlns:c16="http://schemas.microsoft.com/office/drawing/2014/chart" uri="{C3380CC4-5D6E-409C-BE32-E72D297353CC}">
              <c16:uniqueId val="{00000009-B954-4AFB-9109-06C62B08D9FC}"/>
            </c:ext>
          </c:extLst>
        </c:ser>
        <c:dLbls>
          <c:showLegendKey val="0"/>
          <c:showVal val="0"/>
          <c:showCatName val="0"/>
          <c:showSerName val="0"/>
          <c:showPercent val="0"/>
          <c:showBubbleSize val="0"/>
        </c:dLbls>
        <c:gapWidth val="100"/>
        <c:axId val="120704000"/>
        <c:axId val="120713984"/>
      </c:barChart>
      <c:catAx>
        <c:axId val="120704000"/>
        <c:scaling>
          <c:orientation val="minMax"/>
        </c:scaling>
        <c:delete val="0"/>
        <c:axPos val="b"/>
        <c:numFmt formatCode="General" sourceLinked="0"/>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120713984"/>
        <c:crosses val="autoZero"/>
        <c:auto val="1"/>
        <c:lblAlgn val="ctr"/>
        <c:lblOffset val="100"/>
        <c:noMultiLvlLbl val="0"/>
      </c:catAx>
      <c:valAx>
        <c:axId val="120713984"/>
        <c:scaling>
          <c:orientation val="minMax"/>
        </c:scaling>
        <c:delete val="0"/>
        <c:axPos val="l"/>
        <c:numFmt formatCode="0%" sourceLinked="0"/>
        <c:majorTickMark val="out"/>
        <c:minorTickMark val="none"/>
        <c:tickLblPos val="nextTo"/>
        <c:txPr>
          <a:bodyPr/>
          <a:lstStyle/>
          <a:p>
            <a:pPr>
              <a:defRPr sz="750">
                <a:solidFill>
                  <a:sysClr val="windowText" lastClr="000000"/>
                </a:solidFill>
                <a:latin typeface="Arial Narrow" panose="020B0606020202030204" pitchFamily="34" charset="0"/>
                <a:cs typeface="Tahoma" pitchFamily="34" charset="0"/>
              </a:defRPr>
            </a:pPr>
            <a:endParaRPr lang="fr-FR"/>
          </a:p>
        </c:txPr>
        <c:crossAx val="120704000"/>
        <c:crosses val="autoZero"/>
        <c:crossBetween val="between"/>
        <c:majorUnit val="0.2"/>
      </c:valAx>
    </c:plotArea>
    <c:legend>
      <c:legendPos val="b"/>
      <c:layout>
        <c:manualLayout>
          <c:xMode val="edge"/>
          <c:yMode val="edge"/>
          <c:x val="0.84223962962962962"/>
          <c:y val="6.8535225931274793E-3"/>
          <c:w val="0.15776037037037177"/>
          <c:h val="0.17750426677588932"/>
        </c:manualLayout>
      </c:layout>
      <c:overlay val="0"/>
      <c:txPr>
        <a:bodyPr/>
        <a:lstStyle/>
        <a:p>
          <a:pPr>
            <a:defRPr sz="800">
              <a:solidFill>
                <a:sysClr val="windowText" lastClr="000000"/>
              </a:solidFill>
              <a:latin typeface="Arial Narrow" panose="020B0606020202030204" pitchFamily="34" charset="0"/>
              <a:cs typeface="Tahoma" pitchFamily="34" charset="0"/>
            </a:defRPr>
          </a:pPr>
          <a:endParaRPr lang="fr-FR"/>
        </a:p>
      </c:txPr>
    </c:legend>
    <c:plotVisOnly val="1"/>
    <c:dispBlanksAs val="gap"/>
    <c:showDLblsOverMax val="0"/>
  </c:chart>
  <c:spPr>
    <a:solidFill>
      <a:schemeClr val="bg1"/>
    </a:solidFill>
    <a:ln>
      <a:noFill/>
    </a:ln>
  </c:spPr>
  <c:txPr>
    <a:bodyPr/>
    <a:lstStyle/>
    <a:p>
      <a:pPr>
        <a:defRPr>
          <a:solidFill>
            <a:schemeClr val="bg1"/>
          </a:solidFill>
        </a:defRPr>
      </a:pPr>
      <a:endParaRPr lang="fr-FR"/>
    </a:p>
  </c:txPr>
  <c:printSettings>
    <c:headerFooter/>
    <c:pageMargins b="0.314960629921261" l="0.23622047244094491" r="0.19685039370078738" t="0.314960629921261" header="0.23622047244094491" footer="0.19685039370078738"/>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Habitat!$A$5</c:f>
          <c:strCache>
            <c:ptCount val="1"/>
            <c:pt idx="0">
              <c:v>Évolution du parc de logements depuis 2009</c:v>
            </c:pt>
          </c:strCache>
        </c:strRef>
      </c:tx>
      <c:layout>
        <c:manualLayout>
          <c:xMode val="edge"/>
          <c:yMode val="edge"/>
          <c:x val="0.29680878554796003"/>
          <c:y val="2.0353391748389716E-3"/>
        </c:manualLayout>
      </c:layout>
      <c:overlay val="0"/>
      <c:txPr>
        <a:bodyPr/>
        <a:lstStyle/>
        <a:p>
          <a:pPr algn="l">
            <a:defRPr sz="850">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0.1485392784384405"/>
          <c:y val="0.1294521972589063"/>
          <c:w val="0.80534967963718229"/>
          <c:h val="0.65657161691247767"/>
        </c:manualLayout>
      </c:layout>
      <c:barChart>
        <c:barDir val="col"/>
        <c:grouping val="clustered"/>
        <c:varyColors val="0"/>
        <c:ser>
          <c:idx val="0"/>
          <c:order val="0"/>
          <c:tx>
            <c:strRef>
              <c:f>Habitat!$A$6</c:f>
              <c:strCache>
                <c:ptCount val="1"/>
                <c:pt idx="0">
                  <c:v>Paul Bert</c:v>
                </c:pt>
              </c:strCache>
            </c:strRef>
          </c:tx>
          <c:spPr>
            <a:solidFill>
              <a:srgbClr val="8DB579"/>
            </a:solidFill>
            <a:ln w="9525">
              <a:solidFill>
                <a:schemeClr val="tx1"/>
              </a:solidFill>
            </a:ln>
            <a:effectLst>
              <a:outerShdw blurRad="50800" dist="38100" dir="3300000" algn="ctr" rotWithShape="0">
                <a:srgbClr val="000000">
                  <a:alpha val="40000"/>
                </a:srgbClr>
              </a:outerShdw>
            </a:effectLst>
          </c:spPr>
          <c:invertIfNegative val="0"/>
          <c:dLbls>
            <c:spPr>
              <a:noFill/>
              <a:ln>
                <a:noFill/>
              </a:ln>
              <a:effectLst/>
            </c:spPr>
            <c:txPr>
              <a:bodyPr rot="-5400000" vert="horz"/>
              <a:lstStyle/>
              <a:p>
                <a:pPr>
                  <a:defRPr sz="700">
                    <a:solidFill>
                      <a:schemeClr val="tx1"/>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Habitat!$B$5:$D$5</c:f>
              <c:numCache>
                <c:formatCode>0</c:formatCode>
                <c:ptCount val="3"/>
                <c:pt idx="0">
                  <c:v>2009</c:v>
                </c:pt>
                <c:pt idx="1">
                  <c:v>2014</c:v>
                </c:pt>
                <c:pt idx="2">
                  <c:v>2020</c:v>
                </c:pt>
              </c:numCache>
            </c:numRef>
          </c:cat>
          <c:val>
            <c:numRef>
              <c:f>Habitat!$B$6:$D$6</c:f>
              <c:numCache>
                <c:formatCode>#\ ##0\ _€</c:formatCode>
                <c:ptCount val="3"/>
                <c:pt idx="0">
                  <c:v>1633.4981829999999</c:v>
                </c:pt>
                <c:pt idx="1">
                  <c:v>1824.4987605349804</c:v>
                </c:pt>
                <c:pt idx="2">
                  <c:v>2062.5017394846</c:v>
                </c:pt>
              </c:numCache>
            </c:numRef>
          </c:val>
          <c:extLst>
            <c:ext xmlns:c16="http://schemas.microsoft.com/office/drawing/2014/chart" uri="{C3380CC4-5D6E-409C-BE32-E72D297353CC}">
              <c16:uniqueId val="{00000000-F999-4B86-99CB-8D30E2239542}"/>
            </c:ext>
          </c:extLst>
        </c:ser>
        <c:ser>
          <c:idx val="1"/>
          <c:order val="1"/>
          <c:tx>
            <c:strRef>
              <c:f>Habitat!$A$7</c:f>
              <c:strCache>
                <c:ptCount val="1"/>
                <c:pt idx="0">
                  <c:v>Tours nord</c:v>
                </c:pt>
              </c:strCache>
            </c:strRef>
          </c:tx>
          <c:spPr>
            <a:solidFill>
              <a:schemeClr val="bg2">
                <a:lumMod val="75000"/>
              </a:schemeClr>
            </a:solidFill>
            <a:ln>
              <a:solidFill>
                <a:schemeClr val="tx1"/>
              </a:solidFill>
            </a:ln>
          </c:spPr>
          <c:invertIfNegative val="0"/>
          <c:dLbls>
            <c:dLbl>
              <c:idx val="0"/>
              <c:layout>
                <c:manualLayout>
                  <c:x val="-3.6262625793392793E-17"/>
                  <c:y val="3.12922881163007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001-4F87-8762-A98DF6B0BB20}"/>
                </c:ext>
              </c:extLst>
            </c:dLbl>
            <c:dLbl>
              <c:idx val="1"/>
              <c:layout>
                <c:manualLayout>
                  <c:x val="-3.955968512982585E-3"/>
                  <c:y val="7.7447962459668779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001-4F87-8762-A98DF6B0BB20}"/>
                </c:ext>
              </c:extLst>
            </c:dLbl>
            <c:dLbl>
              <c:idx val="2"/>
              <c:layout>
                <c:manualLayout>
                  <c:x val="0"/>
                  <c:y val="2.2972023000062086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001-4F87-8762-A98DF6B0BB20}"/>
                </c:ext>
              </c:extLst>
            </c:dLbl>
            <c:spPr>
              <a:noFill/>
              <a:ln>
                <a:noFill/>
              </a:ln>
              <a:effectLst/>
            </c:spPr>
            <c:txPr>
              <a:bodyPr rot="-5400000" vert="horz"/>
              <a:lstStyle/>
              <a:p>
                <a:pPr>
                  <a:defRPr sz="700">
                    <a:solidFill>
                      <a:schemeClr val="tx1"/>
                    </a:solidFill>
                    <a:latin typeface="Arial Narrow" panose="020B0606020202030204" pitchFamily="34" charset="0"/>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Habitat!$B$5:$D$5</c:f>
              <c:numCache>
                <c:formatCode>0</c:formatCode>
                <c:ptCount val="3"/>
                <c:pt idx="0">
                  <c:v>2009</c:v>
                </c:pt>
                <c:pt idx="1">
                  <c:v>2014</c:v>
                </c:pt>
                <c:pt idx="2">
                  <c:v>2020</c:v>
                </c:pt>
              </c:numCache>
            </c:numRef>
          </c:cat>
          <c:val>
            <c:numRef>
              <c:f>Habitat!$B$7:$D$7</c:f>
              <c:numCache>
                <c:formatCode>#\ ##0\ _€</c:formatCode>
                <c:ptCount val="3"/>
                <c:pt idx="0">
                  <c:v>18696.478561</c:v>
                </c:pt>
                <c:pt idx="1">
                  <c:v>20561.985350313356</c:v>
                </c:pt>
                <c:pt idx="2">
                  <c:v>24059.998027963917</c:v>
                </c:pt>
              </c:numCache>
            </c:numRef>
          </c:val>
          <c:extLst>
            <c:ext xmlns:c16="http://schemas.microsoft.com/office/drawing/2014/chart" uri="{C3380CC4-5D6E-409C-BE32-E72D297353CC}">
              <c16:uniqueId val="{00000003-E001-4F87-8762-A98DF6B0BB20}"/>
            </c:ext>
          </c:extLst>
        </c:ser>
        <c:ser>
          <c:idx val="2"/>
          <c:order val="2"/>
          <c:tx>
            <c:strRef>
              <c:f>Habitat!$A$8</c:f>
              <c:strCache>
                <c:ptCount val="1"/>
                <c:pt idx="0">
                  <c:v>Tours</c:v>
                </c:pt>
              </c:strCache>
            </c:strRef>
          </c:tx>
          <c:spPr>
            <a:solidFill>
              <a:schemeClr val="bg2">
                <a:lumMod val="25000"/>
              </a:schemeClr>
            </a:solidFill>
            <a:ln>
              <a:solidFill>
                <a:schemeClr val="tx1"/>
              </a:solidFill>
            </a:ln>
          </c:spPr>
          <c:invertIfNegative val="0"/>
          <c:dLbls>
            <c:spPr>
              <a:noFill/>
            </c:spPr>
            <c:txPr>
              <a:bodyPr rot="-5400000" vert="horz"/>
              <a:lstStyle/>
              <a:p>
                <a:pPr>
                  <a:defRPr sz="700">
                    <a:solidFill>
                      <a:schemeClr val="bg1"/>
                    </a:solidFill>
                    <a:latin typeface="Arial Narrow" panose="020B0606020202030204" pitchFamily="34" charset="0"/>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Habitat!$B$5:$D$5</c:f>
              <c:numCache>
                <c:formatCode>0</c:formatCode>
                <c:ptCount val="3"/>
                <c:pt idx="0">
                  <c:v>2009</c:v>
                </c:pt>
                <c:pt idx="1">
                  <c:v>2014</c:v>
                </c:pt>
                <c:pt idx="2">
                  <c:v>2020</c:v>
                </c:pt>
              </c:numCache>
            </c:numRef>
          </c:cat>
          <c:val>
            <c:numRef>
              <c:f>Habitat!$B$8:$D$8</c:f>
              <c:numCache>
                <c:formatCode>#\ ##0\ _€</c:formatCode>
                <c:ptCount val="3"/>
                <c:pt idx="0">
                  <c:v>79551.91150799999</c:v>
                </c:pt>
                <c:pt idx="1">
                  <c:v>82636.942846998121</c:v>
                </c:pt>
                <c:pt idx="2">
                  <c:v>88662.077664331155</c:v>
                </c:pt>
              </c:numCache>
            </c:numRef>
          </c:val>
          <c:extLst>
            <c:ext xmlns:c16="http://schemas.microsoft.com/office/drawing/2014/chart" uri="{C3380CC4-5D6E-409C-BE32-E72D297353CC}">
              <c16:uniqueId val="{00000004-E001-4F87-8762-A98DF6B0BB20}"/>
            </c:ext>
          </c:extLst>
        </c:ser>
        <c:dLbls>
          <c:showLegendKey val="0"/>
          <c:showVal val="1"/>
          <c:showCatName val="0"/>
          <c:showSerName val="0"/>
          <c:showPercent val="0"/>
          <c:showBubbleSize val="0"/>
        </c:dLbls>
        <c:gapWidth val="150"/>
        <c:axId val="121290752"/>
        <c:axId val="121292288"/>
      </c:barChart>
      <c:catAx>
        <c:axId val="121290752"/>
        <c:scaling>
          <c:orientation val="minMax"/>
        </c:scaling>
        <c:delete val="0"/>
        <c:axPos val="b"/>
        <c:numFmt formatCode="0" sourceLinked="1"/>
        <c:majorTickMark val="out"/>
        <c:minorTickMark val="none"/>
        <c:tickLblPos val="nextTo"/>
        <c:txPr>
          <a:bodyPr/>
          <a:lstStyle/>
          <a:p>
            <a:pPr>
              <a:defRPr sz="700">
                <a:solidFill>
                  <a:sysClr val="windowText" lastClr="000000"/>
                </a:solidFill>
                <a:latin typeface="Arial Narrow" panose="020B0606020202030204" pitchFamily="34" charset="0"/>
                <a:cs typeface="Tahoma" pitchFamily="34" charset="0"/>
              </a:defRPr>
            </a:pPr>
            <a:endParaRPr lang="fr-FR"/>
          </a:p>
        </c:txPr>
        <c:crossAx val="121292288"/>
        <c:crosses val="autoZero"/>
        <c:auto val="1"/>
        <c:lblAlgn val="ctr"/>
        <c:lblOffset val="100"/>
        <c:noMultiLvlLbl val="0"/>
      </c:catAx>
      <c:valAx>
        <c:axId val="121292288"/>
        <c:scaling>
          <c:orientation val="minMax"/>
        </c:scaling>
        <c:delete val="0"/>
        <c:axPos val="l"/>
        <c:numFmt formatCode="#,##0" sourceLinked="0"/>
        <c:majorTickMark val="out"/>
        <c:minorTickMark val="none"/>
        <c:tickLblPos val="nextTo"/>
        <c:txPr>
          <a:bodyPr/>
          <a:lstStyle/>
          <a:p>
            <a:pPr>
              <a:defRPr sz="700">
                <a:solidFill>
                  <a:sysClr val="windowText" lastClr="000000"/>
                </a:solidFill>
                <a:latin typeface="Arial Narrow" panose="020B0606020202030204" pitchFamily="34" charset="0"/>
                <a:cs typeface="Tahoma" pitchFamily="34" charset="0"/>
              </a:defRPr>
            </a:pPr>
            <a:endParaRPr lang="fr-FR"/>
          </a:p>
        </c:txPr>
        <c:crossAx val="121290752"/>
        <c:crosses val="autoZero"/>
        <c:crossBetween val="between"/>
      </c:valAx>
      <c:spPr>
        <a:solidFill>
          <a:schemeClr val="bg1"/>
        </a:solidFill>
      </c:spPr>
    </c:plotArea>
    <c:legend>
      <c:legendPos val="t"/>
      <c:layout>
        <c:manualLayout>
          <c:xMode val="edge"/>
          <c:yMode val="edge"/>
          <c:x val="9.6110994220257207E-2"/>
          <c:y val="0.88391168107700346"/>
          <c:w val="0.5088070138387254"/>
          <c:h val="0.11608849402734078"/>
        </c:manualLayout>
      </c:layout>
      <c:overlay val="0"/>
      <c:txPr>
        <a:bodyPr/>
        <a:lstStyle/>
        <a:p>
          <a:pPr>
            <a:defRPr sz="700">
              <a:solidFill>
                <a:schemeClr val="tx1"/>
              </a:solidFill>
              <a:latin typeface="Arial Narrow" panose="020B0606020202030204" pitchFamily="34" charset="0"/>
            </a:defRPr>
          </a:pPr>
          <a:endParaRPr lang="fr-FR"/>
        </a:p>
      </c:txPr>
    </c:legend>
    <c:plotVisOnly val="1"/>
    <c:dispBlanksAs val="gap"/>
    <c:showDLblsOverMax val="0"/>
  </c:chart>
  <c:spPr>
    <a:solidFill>
      <a:schemeClr val="bg1"/>
    </a:solidFill>
    <a:ln>
      <a:noFill/>
    </a:ln>
  </c:spPr>
  <c:txPr>
    <a:bodyPr/>
    <a:lstStyle/>
    <a:p>
      <a:pPr>
        <a:defRPr>
          <a:solidFill>
            <a:schemeClr val="bg1"/>
          </a:solidFill>
          <a:latin typeface="+mn-lt"/>
        </a:defRPr>
      </a:pPr>
      <a:endParaRPr lang="fr-FR"/>
    </a:p>
  </c:txPr>
  <c:printSettings>
    <c:headerFooter/>
    <c:pageMargins b="0.75000000000001465" l="0.70000000000000062" r="0.70000000000000062" t="0.75000000000001465" header="0.30000000000000032" footer="0.30000000000000032"/>
    <c:pageSetup paperSize="9"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Habitat!$L$82</c:f>
          <c:strCache>
            <c:ptCount val="1"/>
            <c:pt idx="0">
              <c:v>Période d'achèvement des résidences
principales selon leur type en 2020 Paul Bert</c:v>
            </c:pt>
          </c:strCache>
        </c:strRef>
      </c:tx>
      <c:layout>
        <c:manualLayout>
          <c:xMode val="edge"/>
          <c:yMode val="edge"/>
          <c:x val="3.3062989986996543E-3"/>
          <c:y val="0"/>
        </c:manualLayout>
      </c:layout>
      <c:overlay val="0"/>
      <c:txPr>
        <a:bodyPr/>
        <a:lstStyle/>
        <a:p>
          <a:pPr algn="l">
            <a:defRPr sz="850">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9.93729166666667E-2"/>
          <c:y val="0.26356520721534032"/>
          <c:w val="0.88309068627451393"/>
          <c:h val="0.53249620489762384"/>
        </c:manualLayout>
      </c:layout>
      <c:barChart>
        <c:barDir val="col"/>
        <c:grouping val="clustered"/>
        <c:varyColors val="0"/>
        <c:ser>
          <c:idx val="1"/>
          <c:order val="0"/>
          <c:tx>
            <c:strRef>
              <c:f>'Base de données'!$KD$100</c:f>
              <c:strCache>
                <c:ptCount val="1"/>
                <c:pt idx="0">
                  <c:v>APPARTEMENT</c:v>
                </c:pt>
              </c:strCache>
            </c:strRef>
          </c:tx>
          <c:spPr>
            <a:solidFill>
              <a:srgbClr val="D80ED8"/>
            </a:solidFill>
            <a:effectLst>
              <a:outerShdw blurRad="50800" dist="38100" dir="2700000" algn="tl" rotWithShape="0">
                <a:prstClr val="black">
                  <a:alpha val="40000"/>
                </a:prstClr>
              </a:outerShdw>
            </a:effectLst>
          </c:spPr>
          <c:invertIfNegative val="0"/>
          <c:dLbls>
            <c:spPr>
              <a:noFill/>
              <a:ln>
                <a:noFill/>
              </a:ln>
              <a:effectLst/>
            </c:spPr>
            <c:txPr>
              <a:bodyPr rot="-5400000" vert="horz"/>
              <a:lstStyle/>
              <a:p>
                <a:pPr>
                  <a:defRPr sz="800" b="1">
                    <a:solidFill>
                      <a:schemeClr val="tx1"/>
                    </a:solidFill>
                    <a:latin typeface="Arial Narrow" panose="020B0606020202030204" pitchFamily="34" charset="0"/>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données'!$KE$99:$KJ$99</c:f>
              <c:strCache>
                <c:ptCount val="6"/>
                <c:pt idx="0">
                  <c:v>Avant 1919</c:v>
                </c:pt>
                <c:pt idx="1">
                  <c:v>De 1919 à 1945</c:v>
                </c:pt>
                <c:pt idx="2">
                  <c:v>De 1946 à 1970</c:v>
                </c:pt>
                <c:pt idx="3">
                  <c:v>De 1971 à 1990</c:v>
                </c:pt>
                <c:pt idx="4">
                  <c:v>De 1991 à 2005</c:v>
                </c:pt>
                <c:pt idx="5">
                  <c:v>De 2006 à 2013</c:v>
                </c:pt>
              </c:strCache>
            </c:strRef>
          </c:cat>
          <c:val>
            <c:numRef>
              <c:f>'Base de données'!$KE$100:$KJ$100</c:f>
              <c:numCache>
                <c:formatCode>0%</c:formatCode>
                <c:ptCount val="6"/>
                <c:pt idx="0">
                  <c:v>0.14947643723953669</c:v>
                </c:pt>
                <c:pt idx="1">
                  <c:v>0.12557308286126892</c:v>
                </c:pt>
                <c:pt idx="2">
                  <c:v>0.14896333419217145</c:v>
                </c:pt>
                <c:pt idx="3">
                  <c:v>0.16577272161859652</c:v>
                </c:pt>
                <c:pt idx="4">
                  <c:v>0.19627410341887494</c:v>
                </c:pt>
                <c:pt idx="5">
                  <c:v>0.21394032066955149</c:v>
                </c:pt>
              </c:numCache>
            </c:numRef>
          </c:val>
          <c:extLst>
            <c:ext xmlns:c16="http://schemas.microsoft.com/office/drawing/2014/chart" uri="{C3380CC4-5D6E-409C-BE32-E72D297353CC}">
              <c16:uniqueId val="{00000000-666D-4572-91A6-9ED35162D767}"/>
            </c:ext>
          </c:extLst>
        </c:ser>
        <c:ser>
          <c:idx val="0"/>
          <c:order val="1"/>
          <c:tx>
            <c:strRef>
              <c:f>'Base de données'!$KD$101</c:f>
              <c:strCache>
                <c:ptCount val="1"/>
                <c:pt idx="0">
                  <c:v>MAISON</c:v>
                </c:pt>
              </c:strCache>
            </c:strRef>
          </c:tx>
          <c:spPr>
            <a:solidFill>
              <a:srgbClr val="C0E399"/>
            </a:solidFill>
          </c:spPr>
          <c:invertIfNegative val="0"/>
          <c:dLbls>
            <c:spPr>
              <a:noFill/>
              <a:ln>
                <a:noFill/>
              </a:ln>
              <a:effectLst/>
            </c:spPr>
            <c:txPr>
              <a:bodyPr rot="-5400000" vert="horz"/>
              <a:lstStyle/>
              <a:p>
                <a:pPr>
                  <a:defRPr sz="800" b="1">
                    <a:solidFill>
                      <a:schemeClr val="tx1"/>
                    </a:solidFill>
                    <a:latin typeface="Arial Narrow" panose="020B0606020202030204" pitchFamily="34" charset="0"/>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données'!$KE$99:$KJ$99</c:f>
              <c:strCache>
                <c:ptCount val="6"/>
                <c:pt idx="0">
                  <c:v>Avant 1919</c:v>
                </c:pt>
                <c:pt idx="1">
                  <c:v>De 1919 à 1945</c:v>
                </c:pt>
                <c:pt idx="2">
                  <c:v>De 1946 à 1970</c:v>
                </c:pt>
                <c:pt idx="3">
                  <c:v>De 1971 à 1990</c:v>
                </c:pt>
                <c:pt idx="4">
                  <c:v>De 1991 à 2005</c:v>
                </c:pt>
                <c:pt idx="5">
                  <c:v>De 2006 à 2013</c:v>
                </c:pt>
              </c:strCache>
            </c:strRef>
          </c:cat>
          <c:val>
            <c:numRef>
              <c:f>'Base de données'!$KE$101:$KJ$101</c:f>
              <c:numCache>
                <c:formatCode>0%</c:formatCode>
                <c:ptCount val="6"/>
                <c:pt idx="0">
                  <c:v>0.32813025083974656</c:v>
                </c:pt>
                <c:pt idx="1">
                  <c:v>0.13976404146727497</c:v>
                </c:pt>
                <c:pt idx="2">
                  <c:v>0.27296592495054045</c:v>
                </c:pt>
                <c:pt idx="3">
                  <c:v>0.13784431369203046</c:v>
                </c:pt>
                <c:pt idx="4">
                  <c:v>6.7702958479344225E-2</c:v>
                </c:pt>
                <c:pt idx="5">
                  <c:v>5.3592510571063401E-2</c:v>
                </c:pt>
              </c:numCache>
            </c:numRef>
          </c:val>
          <c:extLst>
            <c:ext xmlns:c16="http://schemas.microsoft.com/office/drawing/2014/chart" uri="{C3380CC4-5D6E-409C-BE32-E72D297353CC}">
              <c16:uniqueId val="{00000000-9E3B-4A7E-B226-F973609C7CB1}"/>
            </c:ext>
          </c:extLst>
        </c:ser>
        <c:dLbls>
          <c:showLegendKey val="0"/>
          <c:showVal val="1"/>
          <c:showCatName val="0"/>
          <c:showSerName val="0"/>
          <c:showPercent val="0"/>
          <c:showBubbleSize val="0"/>
        </c:dLbls>
        <c:gapWidth val="100"/>
        <c:axId val="121322880"/>
        <c:axId val="121349248"/>
      </c:barChart>
      <c:catAx>
        <c:axId val="121322880"/>
        <c:scaling>
          <c:orientation val="minMax"/>
        </c:scaling>
        <c:delete val="0"/>
        <c:axPos val="b"/>
        <c:numFmt formatCode="General" sourceLinked="0"/>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121349248"/>
        <c:crossesAt val="0"/>
        <c:auto val="1"/>
        <c:lblAlgn val="ctr"/>
        <c:lblOffset val="100"/>
        <c:noMultiLvlLbl val="0"/>
      </c:catAx>
      <c:valAx>
        <c:axId val="121349248"/>
        <c:scaling>
          <c:orientation val="minMax"/>
        </c:scaling>
        <c:delete val="1"/>
        <c:axPos val="l"/>
        <c:numFmt formatCode="#,##0" sourceLinked="0"/>
        <c:majorTickMark val="out"/>
        <c:minorTickMark val="none"/>
        <c:tickLblPos val="nextTo"/>
        <c:crossAx val="121322880"/>
        <c:crosses val="autoZero"/>
        <c:crossBetween val="between"/>
      </c:valAx>
    </c:plotArea>
    <c:legend>
      <c:legendPos val="b"/>
      <c:layout>
        <c:manualLayout>
          <c:xMode val="edge"/>
          <c:yMode val="edge"/>
          <c:x val="0.39999869199782434"/>
          <c:y val="0.15552654575844255"/>
          <c:w val="0.5773652403508498"/>
          <c:h val="9.292005769410297E-2"/>
        </c:manualLayout>
      </c:layout>
      <c:overlay val="0"/>
      <c:txPr>
        <a:bodyPr/>
        <a:lstStyle/>
        <a:p>
          <a:pPr>
            <a:defRPr sz="800">
              <a:solidFill>
                <a:sysClr val="windowText" lastClr="000000"/>
              </a:solidFill>
              <a:latin typeface="Arial Narrow" panose="020B0606020202030204" pitchFamily="34" charset="0"/>
              <a:cs typeface="Tahoma" pitchFamily="34" charset="0"/>
            </a:defRPr>
          </a:pPr>
          <a:endParaRPr lang="fr-FR"/>
        </a:p>
      </c:txPr>
    </c:legend>
    <c:plotVisOnly val="1"/>
    <c:dispBlanksAs val="gap"/>
    <c:showDLblsOverMax val="0"/>
  </c:chart>
  <c:spPr>
    <a:solidFill>
      <a:schemeClr val="bg1"/>
    </a:solidFill>
    <a:ln>
      <a:noFill/>
    </a:ln>
  </c:spPr>
  <c:txPr>
    <a:bodyPr/>
    <a:lstStyle/>
    <a:p>
      <a:pPr>
        <a:defRPr>
          <a:solidFill>
            <a:schemeClr val="bg1"/>
          </a:solidFill>
        </a:defRPr>
      </a:pPr>
      <a:endParaRPr lang="fr-FR"/>
    </a:p>
  </c:txPr>
  <c:printSettings>
    <c:headerFooter/>
    <c:pageMargins b="0.75000000000001465" l="0.70000000000000062" r="0.70000000000000062" t="0.75000000000001465" header="0.30000000000000032" footer="0.30000000000000032"/>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Habitat!$L$97</c:f>
          <c:strCache>
            <c:ptCount val="1"/>
            <c:pt idx="0">
              <c:v>Équipement automobile des ménages
en 2009 et 2020 Paul Bert</c:v>
            </c:pt>
          </c:strCache>
        </c:strRef>
      </c:tx>
      <c:layout>
        <c:manualLayout>
          <c:xMode val="edge"/>
          <c:yMode val="edge"/>
          <c:x val="2.2328767123287871E-3"/>
          <c:y val="0"/>
        </c:manualLayout>
      </c:layout>
      <c:overlay val="0"/>
      <c:txPr>
        <a:bodyPr/>
        <a:lstStyle/>
        <a:p>
          <a:pPr algn="l">
            <a:defRPr sz="850">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0.12319406392694064"/>
          <c:y val="0.27459550889472151"/>
          <c:w val="0.90773504273504269"/>
          <c:h val="0.5360157480314961"/>
        </c:manualLayout>
      </c:layout>
      <c:barChart>
        <c:barDir val="col"/>
        <c:grouping val="clustered"/>
        <c:varyColors val="0"/>
        <c:ser>
          <c:idx val="0"/>
          <c:order val="0"/>
          <c:tx>
            <c:strRef>
              <c:f>'Base de données'!$KX$100</c:f>
              <c:strCache>
                <c:ptCount val="1"/>
                <c:pt idx="0">
                  <c:v>2009</c:v>
                </c:pt>
              </c:strCache>
            </c:strRef>
          </c:tx>
          <c:spPr>
            <a:solidFill>
              <a:srgbClr val="647586"/>
            </a:solidFill>
            <a:effectLst>
              <a:outerShdw blurRad="50800" dist="38100" dir="2700000" algn="tl" rotWithShape="0">
                <a:prstClr val="black">
                  <a:alpha val="40000"/>
                </a:prstClr>
              </a:outerShdw>
            </a:effectLst>
          </c:spPr>
          <c:invertIfNegative val="0"/>
          <c:dLbls>
            <c:numFmt formatCode="0.0%" sourceLinked="0"/>
            <c:spPr>
              <a:noFill/>
              <a:ln>
                <a:noFill/>
              </a:ln>
              <a:effectLst/>
            </c:spPr>
            <c:txPr>
              <a:bodyPr/>
              <a:lstStyle/>
              <a:p>
                <a:pPr>
                  <a:defRPr sz="750">
                    <a:solidFill>
                      <a:sysClr val="windowText" lastClr="000000"/>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données'!$KY$99:$LA$99</c:f>
              <c:strCache>
                <c:ptCount val="3"/>
                <c:pt idx="0">
                  <c:v>Sans voiture</c:v>
                </c:pt>
                <c:pt idx="1">
                  <c:v> 1 voiture</c:v>
                </c:pt>
                <c:pt idx="2">
                  <c:v>2 voitures ou +</c:v>
                </c:pt>
              </c:strCache>
            </c:strRef>
          </c:cat>
          <c:val>
            <c:numRef>
              <c:f>'Base de données'!$KY$100:$LA$100</c:f>
              <c:numCache>
                <c:formatCode>0.0%</c:formatCode>
                <c:ptCount val="3"/>
                <c:pt idx="0">
                  <c:v>0.24301852290050274</c:v>
                </c:pt>
                <c:pt idx="1">
                  <c:v>0.55711419877227919</c:v>
                </c:pt>
                <c:pt idx="2">
                  <c:v>0.19986727832721798</c:v>
                </c:pt>
              </c:numCache>
            </c:numRef>
          </c:val>
          <c:extLst>
            <c:ext xmlns:c16="http://schemas.microsoft.com/office/drawing/2014/chart" uri="{C3380CC4-5D6E-409C-BE32-E72D297353CC}">
              <c16:uniqueId val="{00000000-A46E-4DB4-AD88-4FF7A39B1B5B}"/>
            </c:ext>
          </c:extLst>
        </c:ser>
        <c:ser>
          <c:idx val="1"/>
          <c:order val="1"/>
          <c:tx>
            <c:strRef>
              <c:f>'Base de données'!$KX$101</c:f>
              <c:strCache>
                <c:ptCount val="1"/>
                <c:pt idx="0">
                  <c:v>2020</c:v>
                </c:pt>
              </c:strCache>
            </c:strRef>
          </c:tx>
          <c:spPr>
            <a:solidFill>
              <a:srgbClr val="8DB579"/>
            </a:solidFill>
            <a:effectLst>
              <a:outerShdw blurRad="50800" dist="38100" dir="2700000" algn="tl" rotWithShape="0">
                <a:prstClr val="black">
                  <a:alpha val="40000"/>
                </a:prstClr>
              </a:outerShdw>
            </a:effectLst>
          </c:spPr>
          <c:invertIfNegative val="0"/>
          <c:dLbls>
            <c:numFmt formatCode="0.0%" sourceLinked="0"/>
            <c:spPr>
              <a:noFill/>
              <a:ln>
                <a:noFill/>
              </a:ln>
              <a:effectLst/>
            </c:spPr>
            <c:txPr>
              <a:bodyPr/>
              <a:lstStyle/>
              <a:p>
                <a:pPr>
                  <a:defRPr sz="750">
                    <a:solidFill>
                      <a:sysClr val="windowText" lastClr="000000"/>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données'!$KY$99:$LA$99</c:f>
              <c:strCache>
                <c:ptCount val="3"/>
                <c:pt idx="0">
                  <c:v>Sans voiture</c:v>
                </c:pt>
                <c:pt idx="1">
                  <c:v> 1 voiture</c:v>
                </c:pt>
                <c:pt idx="2">
                  <c:v>2 voitures ou +</c:v>
                </c:pt>
              </c:strCache>
            </c:strRef>
          </c:cat>
          <c:val>
            <c:numRef>
              <c:f>'Base de données'!$KY$101:$LA$101</c:f>
              <c:numCache>
                <c:formatCode>0.0%</c:formatCode>
                <c:ptCount val="3"/>
                <c:pt idx="0">
                  <c:v>0.22924649329351682</c:v>
                </c:pt>
                <c:pt idx="1">
                  <c:v>0.61462576485867626</c:v>
                </c:pt>
                <c:pt idx="2">
                  <c:v>0.15612774184780695</c:v>
                </c:pt>
              </c:numCache>
            </c:numRef>
          </c:val>
          <c:extLst>
            <c:ext xmlns:c16="http://schemas.microsoft.com/office/drawing/2014/chart" uri="{C3380CC4-5D6E-409C-BE32-E72D297353CC}">
              <c16:uniqueId val="{00000001-A46E-4DB4-AD88-4FF7A39B1B5B}"/>
            </c:ext>
          </c:extLst>
        </c:ser>
        <c:dLbls>
          <c:showLegendKey val="0"/>
          <c:showVal val="0"/>
          <c:showCatName val="0"/>
          <c:showSerName val="0"/>
          <c:showPercent val="0"/>
          <c:showBubbleSize val="0"/>
        </c:dLbls>
        <c:gapWidth val="100"/>
        <c:axId val="121449856"/>
        <c:axId val="121451648"/>
      </c:barChart>
      <c:catAx>
        <c:axId val="121449856"/>
        <c:scaling>
          <c:orientation val="minMax"/>
        </c:scaling>
        <c:delete val="0"/>
        <c:axPos val="b"/>
        <c:numFmt formatCode="General" sourceLinked="0"/>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121451648"/>
        <c:crosses val="autoZero"/>
        <c:auto val="1"/>
        <c:lblAlgn val="ctr"/>
        <c:lblOffset val="100"/>
        <c:noMultiLvlLbl val="0"/>
      </c:catAx>
      <c:valAx>
        <c:axId val="121451648"/>
        <c:scaling>
          <c:orientation val="minMax"/>
        </c:scaling>
        <c:delete val="0"/>
        <c:axPos val="l"/>
        <c:numFmt formatCode="0.0%" sourceLinked="0"/>
        <c:majorTickMark val="out"/>
        <c:minorTickMark val="none"/>
        <c:tickLblPos val="nextTo"/>
        <c:txPr>
          <a:bodyPr/>
          <a:lstStyle/>
          <a:p>
            <a:pPr>
              <a:defRPr sz="800">
                <a:solidFill>
                  <a:sysClr val="windowText" lastClr="000000"/>
                </a:solidFill>
                <a:latin typeface="Arial Narrow" panose="020B0606020202030204" pitchFamily="34" charset="0"/>
                <a:cs typeface="Tahoma" pitchFamily="34" charset="0"/>
              </a:defRPr>
            </a:pPr>
            <a:endParaRPr lang="fr-FR"/>
          </a:p>
        </c:txPr>
        <c:crossAx val="121449856"/>
        <c:crosses val="autoZero"/>
        <c:crossBetween val="between"/>
      </c:valAx>
    </c:plotArea>
    <c:legend>
      <c:legendPos val="b"/>
      <c:layout>
        <c:manualLayout>
          <c:xMode val="edge"/>
          <c:yMode val="edge"/>
          <c:x val="0.85833465336079529"/>
          <c:y val="1.2384225151788985E-3"/>
          <c:w val="0.13499058380414344"/>
          <c:h val="0.14861033742168644"/>
        </c:manualLayout>
      </c:layout>
      <c:overlay val="0"/>
      <c:txPr>
        <a:bodyPr/>
        <a:lstStyle/>
        <a:p>
          <a:pPr>
            <a:defRPr sz="800">
              <a:solidFill>
                <a:sysClr val="windowText" lastClr="000000"/>
              </a:solidFill>
              <a:latin typeface="Arial Narrow" panose="020B0606020202030204" pitchFamily="34" charset="0"/>
              <a:cs typeface="Tahoma" pitchFamily="34" charset="0"/>
            </a:defRPr>
          </a:pPr>
          <a:endParaRPr lang="fr-FR"/>
        </a:p>
      </c:txPr>
    </c:legend>
    <c:plotVisOnly val="1"/>
    <c:dispBlanksAs val="gap"/>
    <c:showDLblsOverMax val="0"/>
  </c:chart>
  <c:spPr>
    <a:solidFill>
      <a:sysClr val="window" lastClr="FFFFFF"/>
    </a:solidFill>
    <a:ln>
      <a:noFill/>
    </a:ln>
  </c:spPr>
  <c:txPr>
    <a:bodyPr/>
    <a:lstStyle/>
    <a:p>
      <a:pPr>
        <a:defRPr>
          <a:solidFill>
            <a:schemeClr val="bg1"/>
          </a:solidFill>
        </a:defRPr>
      </a:pPr>
      <a:endParaRPr lang="fr-FR"/>
    </a:p>
  </c:txPr>
  <c:printSettings>
    <c:headerFooter/>
    <c:pageMargins b="0.75000000000001465" l="0.70000000000000062" r="0.70000000000000062" t="0.75000000000001465" header="0.30000000000000032" footer="0.30000000000000032"/>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Habitat!$L$73</c:f>
          <c:strCache>
            <c:ptCount val="1"/>
            <c:pt idx="0">
              <c:v>Ancienneté d'emménagement en 2020</c:v>
            </c:pt>
          </c:strCache>
        </c:strRef>
      </c:tx>
      <c:layout>
        <c:manualLayout>
          <c:xMode val="edge"/>
          <c:yMode val="edge"/>
          <c:x val="0"/>
          <c:y val="2.1196825038290588E-2"/>
        </c:manualLayout>
      </c:layout>
      <c:overlay val="0"/>
      <c:spPr>
        <a:noFill/>
        <a:ln>
          <a:noFill/>
        </a:ln>
        <a:effectLst/>
      </c:spPr>
      <c:txPr>
        <a:bodyPr rot="0" spcFirstLastPara="1" vertOverflow="ellipsis" vert="horz" wrap="square" anchor="ctr" anchorCtr="1"/>
        <a:lstStyle/>
        <a:p>
          <a:pPr algn="l">
            <a:defRPr sz="850" b="1" i="0" u="none" strike="noStrike" kern="1200" spc="0" baseline="0">
              <a:solidFill>
                <a:schemeClr val="tx1"/>
              </a:solidFill>
              <a:latin typeface="Arial Narrow" panose="020B0606020202030204" pitchFamily="34" charset="0"/>
              <a:ea typeface="+mn-ea"/>
              <a:cs typeface="+mn-cs"/>
            </a:defRPr>
          </a:pPr>
          <a:endParaRPr lang="fr-FR"/>
        </a:p>
      </c:txPr>
    </c:title>
    <c:autoTitleDeleted val="0"/>
    <c:plotArea>
      <c:layout>
        <c:manualLayout>
          <c:layoutTarget val="inner"/>
          <c:xMode val="edge"/>
          <c:yMode val="edge"/>
          <c:x val="0.1406103132684389"/>
          <c:y val="0.18197390843305392"/>
          <c:w val="0.84736748293974706"/>
          <c:h val="0.37339403451243686"/>
        </c:manualLayout>
      </c:layout>
      <c:barChart>
        <c:barDir val="col"/>
        <c:grouping val="percentStacked"/>
        <c:varyColors val="0"/>
        <c:ser>
          <c:idx val="0"/>
          <c:order val="0"/>
          <c:tx>
            <c:strRef>
              <c:f>'Base de données'!$JY$99</c:f>
              <c:strCache>
                <c:ptCount val="1"/>
                <c:pt idx="0">
                  <c:v>Depuis moins de 2 ans</c:v>
                </c:pt>
              </c:strCache>
            </c:strRef>
          </c:tx>
          <c:spPr>
            <a:solidFill>
              <a:srgbClr val="7030A0"/>
            </a:solidFill>
          </c:spPr>
          <c:invertIfNegative val="0"/>
          <c:cat>
            <c:strRef>
              <c:f>'Base de données'!$JX$100:$JX$102</c:f>
              <c:strCache>
                <c:ptCount val="3"/>
                <c:pt idx="0">
                  <c:v>Paul Bert</c:v>
                </c:pt>
                <c:pt idx="1">
                  <c:v>Tours nord</c:v>
                </c:pt>
                <c:pt idx="2">
                  <c:v>Tours</c:v>
                </c:pt>
              </c:strCache>
            </c:strRef>
          </c:cat>
          <c:val>
            <c:numRef>
              <c:f>'Base de données'!$JY$100:$JY$102</c:f>
              <c:numCache>
                <c:formatCode>0.0%</c:formatCode>
                <c:ptCount val="3"/>
                <c:pt idx="0">
                  <c:v>0.25413069197688165</c:v>
                </c:pt>
                <c:pt idx="1">
                  <c:v>0.17752063444011856</c:v>
                </c:pt>
                <c:pt idx="2">
                  <c:v>0.21887702512686869</c:v>
                </c:pt>
              </c:numCache>
            </c:numRef>
          </c:val>
          <c:extLst>
            <c:ext xmlns:c16="http://schemas.microsoft.com/office/drawing/2014/chart" uri="{C3380CC4-5D6E-409C-BE32-E72D297353CC}">
              <c16:uniqueId val="{00000000-C1B4-4D91-A974-5D42E0484FCE}"/>
            </c:ext>
          </c:extLst>
        </c:ser>
        <c:ser>
          <c:idx val="1"/>
          <c:order val="1"/>
          <c:tx>
            <c:strRef>
              <c:f>'Base de données'!$JZ$99</c:f>
              <c:strCache>
                <c:ptCount val="1"/>
                <c:pt idx="0">
                  <c:v>De 2 à 4 ans</c:v>
                </c:pt>
              </c:strCache>
            </c:strRef>
          </c:tx>
          <c:spPr>
            <a:solidFill>
              <a:srgbClr val="C0E399"/>
            </a:solidFill>
          </c:spPr>
          <c:invertIfNegative val="0"/>
          <c:cat>
            <c:strRef>
              <c:f>'Base de données'!$JX$100:$JX$102</c:f>
              <c:strCache>
                <c:ptCount val="3"/>
                <c:pt idx="0">
                  <c:v>Paul Bert</c:v>
                </c:pt>
                <c:pt idx="1">
                  <c:v>Tours nord</c:v>
                </c:pt>
                <c:pt idx="2">
                  <c:v>Tours</c:v>
                </c:pt>
              </c:strCache>
            </c:strRef>
          </c:cat>
          <c:val>
            <c:numRef>
              <c:f>'Base de données'!$JZ$100:$JZ$102</c:f>
              <c:numCache>
                <c:formatCode>0%</c:formatCode>
                <c:ptCount val="3"/>
                <c:pt idx="0" formatCode="0.0%">
                  <c:v>0.29829058100031808</c:v>
                </c:pt>
                <c:pt idx="1">
                  <c:v>0.2837971770358515</c:v>
                </c:pt>
                <c:pt idx="2" formatCode="0.0%">
                  <c:v>0.28958930980462877</c:v>
                </c:pt>
              </c:numCache>
            </c:numRef>
          </c:val>
          <c:extLst>
            <c:ext xmlns:c16="http://schemas.microsoft.com/office/drawing/2014/chart" uri="{C3380CC4-5D6E-409C-BE32-E72D297353CC}">
              <c16:uniqueId val="{00000001-C1B4-4D91-A974-5D42E0484FCE}"/>
            </c:ext>
          </c:extLst>
        </c:ser>
        <c:ser>
          <c:idx val="2"/>
          <c:order val="2"/>
          <c:tx>
            <c:strRef>
              <c:f>'Base de données'!$KA$99</c:f>
              <c:strCache>
                <c:ptCount val="1"/>
                <c:pt idx="0">
                  <c:v>De 5 à 9 ans</c:v>
                </c:pt>
              </c:strCache>
            </c:strRef>
          </c:tx>
          <c:spPr>
            <a:solidFill>
              <a:srgbClr val="647586"/>
            </a:solidFill>
          </c:spPr>
          <c:invertIfNegative val="0"/>
          <c:cat>
            <c:strRef>
              <c:f>'Base de données'!$JX$100:$JX$102</c:f>
              <c:strCache>
                <c:ptCount val="3"/>
                <c:pt idx="0">
                  <c:v>Paul Bert</c:v>
                </c:pt>
                <c:pt idx="1">
                  <c:v>Tours nord</c:v>
                </c:pt>
                <c:pt idx="2">
                  <c:v>Tours</c:v>
                </c:pt>
              </c:strCache>
            </c:strRef>
          </c:cat>
          <c:val>
            <c:numRef>
              <c:f>'Base de données'!$KA$100:$KA$102</c:f>
              <c:numCache>
                <c:formatCode>0%</c:formatCode>
                <c:ptCount val="3"/>
                <c:pt idx="0" formatCode="0.0%">
                  <c:v>0.14877491267123841</c:v>
                </c:pt>
                <c:pt idx="1">
                  <c:v>0.17871221271325913</c:v>
                </c:pt>
                <c:pt idx="2" formatCode="0.0%">
                  <c:v>0.16253981701319228</c:v>
                </c:pt>
              </c:numCache>
            </c:numRef>
          </c:val>
          <c:extLst>
            <c:ext xmlns:c16="http://schemas.microsoft.com/office/drawing/2014/chart" uri="{C3380CC4-5D6E-409C-BE32-E72D297353CC}">
              <c16:uniqueId val="{00000002-C1B4-4D91-A974-5D42E0484FCE}"/>
            </c:ext>
          </c:extLst>
        </c:ser>
        <c:ser>
          <c:idx val="3"/>
          <c:order val="3"/>
          <c:tx>
            <c:strRef>
              <c:f>'Base de données'!$KB$99</c:f>
              <c:strCache>
                <c:ptCount val="1"/>
                <c:pt idx="0">
                  <c:v>De 10 ans ou plus</c:v>
                </c:pt>
              </c:strCache>
            </c:strRef>
          </c:tx>
          <c:spPr>
            <a:solidFill>
              <a:schemeClr val="bg1">
                <a:lumMod val="85000"/>
              </a:schemeClr>
            </a:solidFill>
          </c:spPr>
          <c:invertIfNegative val="0"/>
          <c:cat>
            <c:strRef>
              <c:f>'Base de données'!$JX$100:$JX$102</c:f>
              <c:strCache>
                <c:ptCount val="3"/>
                <c:pt idx="0">
                  <c:v>Paul Bert</c:v>
                </c:pt>
                <c:pt idx="1">
                  <c:v>Tours nord</c:v>
                </c:pt>
                <c:pt idx="2">
                  <c:v>Tours</c:v>
                </c:pt>
              </c:strCache>
            </c:strRef>
          </c:cat>
          <c:val>
            <c:numRef>
              <c:f>'Base de données'!$KB$100:$KB$102</c:f>
              <c:numCache>
                <c:formatCode>0%</c:formatCode>
                <c:ptCount val="3"/>
                <c:pt idx="0" formatCode="0.0%">
                  <c:v>0.29880381435156184</c:v>
                </c:pt>
                <c:pt idx="1">
                  <c:v>0.35996997581077084</c:v>
                </c:pt>
                <c:pt idx="2" formatCode="0.0%">
                  <c:v>0.32899384805531029</c:v>
                </c:pt>
              </c:numCache>
            </c:numRef>
          </c:val>
          <c:extLst>
            <c:ext xmlns:c16="http://schemas.microsoft.com/office/drawing/2014/chart" uri="{C3380CC4-5D6E-409C-BE32-E72D297353CC}">
              <c16:uniqueId val="{00000003-C1B4-4D91-A974-5D42E0484FCE}"/>
            </c:ext>
          </c:extLst>
        </c:ser>
        <c:dLbls>
          <c:showLegendKey val="0"/>
          <c:showVal val="0"/>
          <c:showCatName val="0"/>
          <c:showSerName val="0"/>
          <c:showPercent val="0"/>
          <c:showBubbleSize val="0"/>
        </c:dLbls>
        <c:gapWidth val="150"/>
        <c:overlap val="100"/>
        <c:axId val="121490816"/>
        <c:axId val="121504896"/>
      </c:barChart>
      <c:catAx>
        <c:axId val="121490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fr-FR"/>
          </a:p>
        </c:txPr>
        <c:crossAx val="121504896"/>
        <c:crosses val="autoZero"/>
        <c:auto val="1"/>
        <c:lblAlgn val="ctr"/>
        <c:lblOffset val="100"/>
        <c:noMultiLvlLbl val="0"/>
      </c:catAx>
      <c:valAx>
        <c:axId val="121504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fr-FR"/>
          </a:p>
        </c:txPr>
        <c:crossAx val="121490816"/>
        <c:crosses val="autoZero"/>
        <c:crossBetween val="between"/>
        <c:majorUnit val="0.2"/>
      </c:valAx>
      <c:spPr>
        <a:noFill/>
        <a:ln>
          <a:noFill/>
        </a:ln>
        <a:effectLst/>
      </c:spPr>
    </c:plotArea>
    <c:legend>
      <c:legendPos val="b"/>
      <c:layout>
        <c:manualLayout>
          <c:xMode val="edge"/>
          <c:yMode val="edge"/>
          <c:x val="0"/>
          <c:y val="0.85657427039248624"/>
          <c:w val="0.96742401094184238"/>
          <c:h val="0.14342572960751379"/>
        </c:manualLayout>
      </c:layout>
      <c:overlay val="0"/>
      <c:spPr>
        <a:noFill/>
        <a:ln>
          <a:noFill/>
        </a:ln>
        <a:effectLst/>
      </c:spPr>
      <c:txPr>
        <a:bodyPr rot="0" spcFirstLastPara="1" vertOverflow="ellipsis" vert="horz" wrap="square" anchor="ctr" anchorCtr="1"/>
        <a:lstStyle/>
        <a:p>
          <a:pPr>
            <a:defRPr sz="75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Démographie!$K$6</c:f>
          <c:strCache>
            <c:ptCount val="1"/>
            <c:pt idx="0">
              <c:v>Evolution de la 
population depuis 2009 à Tours nord</c:v>
            </c:pt>
          </c:strCache>
        </c:strRef>
      </c:tx>
      <c:layout>
        <c:manualLayout>
          <c:xMode val="edge"/>
          <c:yMode val="edge"/>
          <c:x val="9.0224867261536848E-4"/>
          <c:y val="2.0353753807816032E-3"/>
        </c:manualLayout>
      </c:layout>
      <c:overlay val="0"/>
      <c:txPr>
        <a:bodyPr/>
        <a:lstStyle/>
        <a:p>
          <a:pPr algn="l">
            <a:defRPr sz="850" b="1">
              <a:solidFill>
                <a:schemeClr val="tx1"/>
              </a:solidFill>
            </a:defRPr>
          </a:pPr>
          <a:endParaRPr lang="fr-FR"/>
        </a:p>
      </c:txPr>
    </c:title>
    <c:autoTitleDeleted val="0"/>
    <c:plotArea>
      <c:layout>
        <c:manualLayout>
          <c:layoutTarget val="inner"/>
          <c:xMode val="edge"/>
          <c:yMode val="edge"/>
          <c:x val="0.12449591022032497"/>
          <c:y val="0.24021515641063299"/>
          <c:w val="0.87550408977967509"/>
          <c:h val="0.63562398438499335"/>
        </c:manualLayout>
      </c:layout>
      <c:barChart>
        <c:barDir val="col"/>
        <c:grouping val="clustered"/>
        <c:varyColors val="0"/>
        <c:ser>
          <c:idx val="0"/>
          <c:order val="0"/>
          <c:tx>
            <c:strRef>
              <c:f>Démographie!$A$6</c:f>
              <c:strCache>
                <c:ptCount val="1"/>
                <c:pt idx="0">
                  <c:v>Paul Bert</c:v>
                </c:pt>
              </c:strCache>
            </c:strRef>
          </c:tx>
          <c:spPr>
            <a:solidFill>
              <a:schemeClr val="accent2">
                <a:lumMod val="20000"/>
                <a:lumOff val="80000"/>
              </a:schemeClr>
            </a:solidFill>
            <a:ln w="12700">
              <a:solidFill>
                <a:schemeClr val="tx1"/>
              </a:solidFill>
            </a:ln>
            <a:effectLst>
              <a:outerShdw blurRad="50800" dist="38100" dir="3300000" algn="ctr" rotWithShape="0">
                <a:srgbClr val="000000">
                  <a:alpha val="40000"/>
                </a:srgbClr>
              </a:outerShdw>
            </a:effectLst>
          </c:spPr>
          <c:invertIfNegative val="0"/>
          <c:dPt>
            <c:idx val="0"/>
            <c:invertIfNegative val="0"/>
            <c:bubble3D val="0"/>
            <c:spPr>
              <a:solidFill>
                <a:schemeClr val="accent2">
                  <a:lumMod val="20000"/>
                  <a:lumOff val="80000"/>
                </a:schemeClr>
              </a:solidFill>
              <a:ln w="12700">
                <a:solidFill>
                  <a:schemeClr val="tx1"/>
                </a:solidFill>
              </a:ln>
              <a:effectLst>
                <a:outerShdw blurRad="50800" dist="38100" dir="3300000" algn="ctr" rotWithShape="0">
                  <a:srgbClr val="000000">
                    <a:alpha val="40000"/>
                  </a:srgbClr>
                </a:outerShdw>
              </a:effectLst>
            </c:spPr>
            <c:extLst>
              <c:ext xmlns:c16="http://schemas.microsoft.com/office/drawing/2014/chart" uri="{C3380CC4-5D6E-409C-BE32-E72D297353CC}">
                <c16:uniqueId val="{00000001-7779-417F-B663-D4AB9CB29B11}"/>
              </c:ext>
            </c:extLst>
          </c:dPt>
          <c:dLbls>
            <c:spPr>
              <a:noFill/>
              <a:ln>
                <a:noFill/>
              </a:ln>
              <a:effectLst/>
            </c:spPr>
            <c:txPr>
              <a:bodyPr rot="-5400000" vert="horz"/>
              <a:lstStyle/>
              <a:p>
                <a:pPr>
                  <a:defRPr sz="800">
                    <a:solidFill>
                      <a:schemeClr val="tx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Démographie!$B$5:$D$5</c:f>
              <c:numCache>
                <c:formatCode>0</c:formatCode>
                <c:ptCount val="3"/>
                <c:pt idx="0">
                  <c:v>2009</c:v>
                </c:pt>
                <c:pt idx="1">
                  <c:v>2014</c:v>
                </c:pt>
                <c:pt idx="2">
                  <c:v>2020</c:v>
                </c:pt>
              </c:numCache>
            </c:numRef>
          </c:cat>
          <c:val>
            <c:numRef>
              <c:f>Démographie!$B$6:$D$6</c:f>
              <c:numCache>
                <c:formatCode>#\ ##0\ _€</c:formatCode>
                <c:ptCount val="3"/>
                <c:pt idx="0">
                  <c:v>2925.7418859999998</c:v>
                </c:pt>
                <c:pt idx="1">
                  <c:v>3195.6356909183669</c:v>
                </c:pt>
                <c:pt idx="2">
                  <c:v>3398.7246474081298</c:v>
                </c:pt>
              </c:numCache>
            </c:numRef>
          </c:val>
          <c:extLst>
            <c:ext xmlns:c16="http://schemas.microsoft.com/office/drawing/2014/chart" uri="{C3380CC4-5D6E-409C-BE32-E72D297353CC}">
              <c16:uniqueId val="{00000000-AB1B-4B91-8C2D-0659350BEBCB}"/>
            </c:ext>
          </c:extLst>
        </c:ser>
        <c:ser>
          <c:idx val="1"/>
          <c:order val="1"/>
          <c:tx>
            <c:strRef>
              <c:f>Démographie!$A$7</c:f>
              <c:strCache>
                <c:ptCount val="1"/>
                <c:pt idx="0">
                  <c:v>Tours nord</c:v>
                </c:pt>
              </c:strCache>
            </c:strRef>
          </c:tx>
          <c:spPr>
            <a:solidFill>
              <a:schemeClr val="bg2">
                <a:lumMod val="75000"/>
              </a:schemeClr>
            </a:solidFill>
            <a:ln>
              <a:solidFill>
                <a:schemeClr val="tx1"/>
              </a:solidFill>
            </a:ln>
          </c:spPr>
          <c:invertIfNegative val="0"/>
          <c:dLbls>
            <c:spPr>
              <a:noFill/>
              <a:ln>
                <a:noFill/>
              </a:ln>
              <a:effectLst/>
            </c:spPr>
            <c:txPr>
              <a:bodyPr rot="-5400000" vert="horz"/>
              <a:lstStyle/>
              <a:p>
                <a:pPr>
                  <a:defRPr sz="800">
                    <a:solidFill>
                      <a:schemeClr val="tx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Démographie!$B$5:$D$5</c:f>
              <c:numCache>
                <c:formatCode>0</c:formatCode>
                <c:ptCount val="3"/>
                <c:pt idx="0">
                  <c:v>2009</c:v>
                </c:pt>
                <c:pt idx="1">
                  <c:v>2014</c:v>
                </c:pt>
                <c:pt idx="2">
                  <c:v>2020</c:v>
                </c:pt>
              </c:numCache>
            </c:numRef>
          </c:cat>
          <c:val>
            <c:numRef>
              <c:f>Démographie!$B$7:$D$7</c:f>
              <c:numCache>
                <c:formatCode>#\ ##0\ _€</c:formatCode>
                <c:ptCount val="3"/>
                <c:pt idx="0">
                  <c:v>36397.089605000001</c:v>
                </c:pt>
                <c:pt idx="1">
                  <c:v>38164.420002081337</c:v>
                </c:pt>
                <c:pt idx="2">
                  <c:v>41935.565434250013</c:v>
                </c:pt>
              </c:numCache>
            </c:numRef>
          </c:val>
          <c:extLst>
            <c:ext xmlns:c16="http://schemas.microsoft.com/office/drawing/2014/chart" uri="{C3380CC4-5D6E-409C-BE32-E72D297353CC}">
              <c16:uniqueId val="{00000002-7779-417F-B663-D4AB9CB29B11}"/>
            </c:ext>
          </c:extLst>
        </c:ser>
        <c:ser>
          <c:idx val="2"/>
          <c:order val="2"/>
          <c:tx>
            <c:strRef>
              <c:f>Démographie!$A$8</c:f>
              <c:strCache>
                <c:ptCount val="1"/>
                <c:pt idx="0">
                  <c:v>Tours</c:v>
                </c:pt>
              </c:strCache>
            </c:strRef>
          </c:tx>
          <c:spPr>
            <a:solidFill>
              <a:schemeClr val="bg2">
                <a:lumMod val="10000"/>
              </a:schemeClr>
            </a:solidFill>
            <a:ln>
              <a:solidFill>
                <a:schemeClr val="tx1"/>
              </a:solidFill>
            </a:ln>
          </c:spPr>
          <c:invertIfNegative val="0"/>
          <c:dLbls>
            <c:spPr>
              <a:noFill/>
              <a:ln>
                <a:noFill/>
              </a:ln>
              <a:effectLst/>
            </c:spPr>
            <c:txPr>
              <a:bodyPr rot="-5400000" vert="horz"/>
              <a:lstStyle/>
              <a:p>
                <a:pPr>
                  <a:defRPr sz="800"/>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Démographie!$B$5:$D$5</c:f>
              <c:numCache>
                <c:formatCode>0</c:formatCode>
                <c:ptCount val="3"/>
                <c:pt idx="0">
                  <c:v>2009</c:v>
                </c:pt>
                <c:pt idx="1">
                  <c:v>2014</c:v>
                </c:pt>
                <c:pt idx="2">
                  <c:v>2020</c:v>
                </c:pt>
              </c:numCache>
            </c:numRef>
          </c:cat>
          <c:val>
            <c:numRef>
              <c:f>Démographie!$B$8:$D$8</c:f>
              <c:numCache>
                <c:formatCode>#\ ##0\ _€</c:formatCode>
                <c:ptCount val="3"/>
                <c:pt idx="0">
                  <c:v>135217.99999799998</c:v>
                </c:pt>
                <c:pt idx="1">
                  <c:v>136125</c:v>
                </c:pt>
                <c:pt idx="2">
                  <c:v>137849.99999999997</c:v>
                </c:pt>
              </c:numCache>
            </c:numRef>
          </c:val>
          <c:extLst>
            <c:ext xmlns:c16="http://schemas.microsoft.com/office/drawing/2014/chart" uri="{C3380CC4-5D6E-409C-BE32-E72D297353CC}">
              <c16:uniqueId val="{00000003-7779-417F-B663-D4AB9CB29B11}"/>
            </c:ext>
          </c:extLst>
        </c:ser>
        <c:dLbls>
          <c:showLegendKey val="0"/>
          <c:showVal val="1"/>
          <c:showCatName val="0"/>
          <c:showSerName val="0"/>
          <c:showPercent val="0"/>
          <c:showBubbleSize val="0"/>
        </c:dLbls>
        <c:gapWidth val="150"/>
        <c:axId val="43048960"/>
        <c:axId val="43050496"/>
      </c:barChart>
      <c:catAx>
        <c:axId val="43048960"/>
        <c:scaling>
          <c:orientation val="minMax"/>
        </c:scaling>
        <c:delete val="0"/>
        <c:axPos val="b"/>
        <c:numFmt formatCode="0" sourceLinked="1"/>
        <c:majorTickMark val="out"/>
        <c:minorTickMark val="none"/>
        <c:tickLblPos val="nextTo"/>
        <c:txPr>
          <a:bodyPr/>
          <a:lstStyle/>
          <a:p>
            <a:pPr>
              <a:defRPr sz="800">
                <a:solidFill>
                  <a:schemeClr val="tx1"/>
                </a:solidFill>
              </a:defRPr>
            </a:pPr>
            <a:endParaRPr lang="fr-FR"/>
          </a:p>
        </c:txPr>
        <c:crossAx val="43050496"/>
        <c:crosses val="autoZero"/>
        <c:auto val="1"/>
        <c:lblAlgn val="ctr"/>
        <c:lblOffset val="100"/>
        <c:noMultiLvlLbl val="0"/>
      </c:catAx>
      <c:valAx>
        <c:axId val="43050496"/>
        <c:scaling>
          <c:orientation val="minMax"/>
        </c:scaling>
        <c:delete val="0"/>
        <c:axPos val="l"/>
        <c:numFmt formatCode="#\ ##0\ _€" sourceLinked="1"/>
        <c:majorTickMark val="out"/>
        <c:minorTickMark val="none"/>
        <c:tickLblPos val="nextTo"/>
        <c:txPr>
          <a:bodyPr/>
          <a:lstStyle/>
          <a:p>
            <a:pPr>
              <a:defRPr sz="750">
                <a:solidFill>
                  <a:schemeClr val="tx1"/>
                </a:solidFill>
              </a:defRPr>
            </a:pPr>
            <a:endParaRPr lang="fr-FR"/>
          </a:p>
        </c:txPr>
        <c:crossAx val="43048960"/>
        <c:crosses val="autoZero"/>
        <c:crossBetween val="between"/>
      </c:valAx>
      <c:spPr>
        <a:solidFill>
          <a:schemeClr val="bg1"/>
        </a:solidFill>
      </c:spPr>
    </c:plotArea>
    <c:legend>
      <c:legendPos val="t"/>
      <c:layout>
        <c:manualLayout>
          <c:xMode val="edge"/>
          <c:yMode val="edge"/>
          <c:x val="0.46584000961699423"/>
          <c:y val="9.4610433469744529E-2"/>
          <c:w val="0.50350020391173489"/>
          <c:h val="0.12771838840029634"/>
        </c:manualLayout>
      </c:layout>
      <c:overlay val="0"/>
      <c:txPr>
        <a:bodyPr/>
        <a:lstStyle/>
        <a:p>
          <a:pPr>
            <a:defRPr>
              <a:solidFill>
                <a:schemeClr val="tx1"/>
              </a:solidFill>
            </a:defRPr>
          </a:pPr>
          <a:endParaRPr lang="fr-FR"/>
        </a:p>
      </c:txPr>
    </c:legend>
    <c:plotVisOnly val="1"/>
    <c:dispBlanksAs val="gap"/>
    <c:showDLblsOverMax val="0"/>
  </c:chart>
  <c:spPr>
    <a:solidFill>
      <a:schemeClr val="bg1"/>
    </a:solidFill>
    <a:ln>
      <a:noFill/>
    </a:ln>
  </c:spPr>
  <c:txPr>
    <a:bodyPr/>
    <a:lstStyle/>
    <a:p>
      <a:pPr>
        <a:defRPr>
          <a:solidFill>
            <a:schemeClr val="bg1"/>
          </a:solidFill>
          <a:latin typeface="Arial Narrow" panose="020B0606020202030204" pitchFamily="34" charset="0"/>
        </a:defRPr>
      </a:pPr>
      <a:endParaRPr lang="fr-FR"/>
    </a:p>
  </c:txPr>
  <c:printSettings>
    <c:headerFooter/>
    <c:pageMargins b="0.75000000000001465" l="0.70000000000000062" r="0.70000000000000062" t="0.75000000000001465" header="0.30000000000000032" footer="0.30000000000000032"/>
    <c:pageSetup paperSize="9" orientation="portrait"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'Emploi et activité'!$K$8</c:f>
          <c:strCache>
            <c:ptCount val="1"/>
            <c:pt idx="0">
              <c:v>Type d'activité de la population âgée de
15 à 64 ans en 2009 et 2020 Paul Bert</c:v>
            </c:pt>
          </c:strCache>
        </c:strRef>
      </c:tx>
      <c:layout>
        <c:manualLayout>
          <c:xMode val="edge"/>
          <c:yMode val="edge"/>
          <c:x val="9.0238079593495189E-4"/>
          <c:y val="2.0357142857142891E-3"/>
        </c:manualLayout>
      </c:layout>
      <c:overlay val="0"/>
      <c:txPr>
        <a:bodyPr/>
        <a:lstStyle/>
        <a:p>
          <a:pPr algn="l">
            <a:defRPr sz="850">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0.33373174775409936"/>
          <c:y val="0.13140781966748888"/>
          <c:w val="0.61312674535810474"/>
          <c:h val="0.77974047127571378"/>
        </c:manualLayout>
      </c:layout>
      <c:barChart>
        <c:barDir val="bar"/>
        <c:grouping val="clustered"/>
        <c:varyColors val="0"/>
        <c:ser>
          <c:idx val="0"/>
          <c:order val="0"/>
          <c:tx>
            <c:strRef>
              <c:f>'Base de données'!$LI$100:$LJ$100</c:f>
              <c:strCache>
                <c:ptCount val="2"/>
                <c:pt idx="0">
                  <c:v>2009</c:v>
                </c:pt>
              </c:strCache>
            </c:strRef>
          </c:tx>
          <c:spPr>
            <a:solidFill>
              <a:srgbClr val="D8B25C"/>
            </a:solidFill>
            <a:ln>
              <a:noFill/>
            </a:ln>
            <a:effectLst>
              <a:outerShdw blurRad="50800" dist="38100" dir="2700000" algn="tl" rotWithShape="0">
                <a:prstClr val="black">
                  <a:alpha val="40000"/>
                </a:prstClr>
              </a:outerShdw>
            </a:effectLst>
          </c:spPr>
          <c:invertIfNegative val="0"/>
          <c:dLbls>
            <c:numFmt formatCode="0.0%" sourceLinked="0"/>
            <c:spPr>
              <a:noFill/>
              <a:ln>
                <a:noFill/>
              </a:ln>
              <a:effectLst/>
            </c:spPr>
            <c:txPr>
              <a:bodyPr/>
              <a:lstStyle/>
              <a:p>
                <a:pPr>
                  <a:defRPr sz="750" b="0">
                    <a:solidFill>
                      <a:schemeClr val="tx1"/>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données'!$LK$99:$LO$99</c:f>
              <c:strCache>
                <c:ptCount val="5"/>
                <c:pt idx="0">
                  <c:v>Actifs ayant un emploi</c:v>
                </c:pt>
                <c:pt idx="1">
                  <c:v>Chômeurs</c:v>
                </c:pt>
                <c:pt idx="2">
                  <c:v>Élèves étudiants
 et stagiaires</c:v>
                </c:pt>
                <c:pt idx="3">
                  <c:v>Retraités ou préretraités</c:v>
                </c:pt>
                <c:pt idx="4">
                  <c:v>Autres inactifs</c:v>
                </c:pt>
              </c:strCache>
            </c:strRef>
          </c:cat>
          <c:val>
            <c:numRef>
              <c:f>'Base de données'!$LK$100:$LO$100</c:f>
              <c:numCache>
                <c:formatCode>0.0%</c:formatCode>
                <c:ptCount val="5"/>
                <c:pt idx="0">
                  <c:v>0.57268289970504138</c:v>
                </c:pt>
                <c:pt idx="1">
                  <c:v>7.164599756732952E-2</c:v>
                </c:pt>
                <c:pt idx="2">
                  <c:v>0.27900729336667518</c:v>
                </c:pt>
                <c:pt idx="3">
                  <c:v>3.9626329464039829E-2</c:v>
                </c:pt>
                <c:pt idx="4">
                  <c:v>3.7037480387748518E-2</c:v>
                </c:pt>
              </c:numCache>
            </c:numRef>
          </c:val>
          <c:extLst>
            <c:ext xmlns:c16="http://schemas.microsoft.com/office/drawing/2014/chart" uri="{C3380CC4-5D6E-409C-BE32-E72D297353CC}">
              <c16:uniqueId val="{00000000-08FB-4912-950D-58C75C5EBD32}"/>
            </c:ext>
          </c:extLst>
        </c:ser>
        <c:ser>
          <c:idx val="1"/>
          <c:order val="1"/>
          <c:tx>
            <c:strRef>
              <c:f>'Base de données'!$LI$101:$LJ$101</c:f>
              <c:strCache>
                <c:ptCount val="2"/>
                <c:pt idx="0">
                  <c:v>2020</c:v>
                </c:pt>
              </c:strCache>
            </c:strRef>
          </c:tx>
          <c:spPr>
            <a:solidFill>
              <a:srgbClr val="647586"/>
            </a:solidFill>
            <a:effectLst>
              <a:outerShdw blurRad="50800" dist="38100" dir="3300000" algn="ctr" rotWithShape="0">
                <a:srgbClr val="000000">
                  <a:alpha val="40000"/>
                </a:srgbClr>
              </a:outerShdw>
            </a:effectLst>
          </c:spPr>
          <c:invertIfNegative val="0"/>
          <c:dLbls>
            <c:numFmt formatCode="0.0%" sourceLinked="0"/>
            <c:spPr>
              <a:noFill/>
              <a:ln>
                <a:noFill/>
              </a:ln>
              <a:effectLst/>
            </c:spPr>
            <c:txPr>
              <a:bodyPr/>
              <a:lstStyle/>
              <a:p>
                <a:pPr>
                  <a:defRPr sz="750">
                    <a:solidFill>
                      <a:schemeClr val="tx1"/>
                    </a:solidFill>
                    <a:latin typeface="Arial Narrow" panose="020B0606020202030204" pitchFamily="34" charset="0"/>
                    <a:cs typeface="Tahoma"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données'!$LK$99:$LO$99</c:f>
              <c:strCache>
                <c:ptCount val="5"/>
                <c:pt idx="0">
                  <c:v>Actifs ayant un emploi</c:v>
                </c:pt>
                <c:pt idx="1">
                  <c:v>Chômeurs</c:v>
                </c:pt>
                <c:pt idx="2">
                  <c:v>Élèves étudiants
 et stagiaires</c:v>
                </c:pt>
                <c:pt idx="3">
                  <c:v>Retraités ou préretraités</c:v>
                </c:pt>
                <c:pt idx="4">
                  <c:v>Autres inactifs</c:v>
                </c:pt>
              </c:strCache>
            </c:strRef>
          </c:cat>
          <c:val>
            <c:numRef>
              <c:f>'Base de données'!$LK$101:$LO$101</c:f>
              <c:numCache>
                <c:formatCode>0.0%</c:formatCode>
                <c:ptCount val="5"/>
                <c:pt idx="0">
                  <c:v>0.58771585559089801</c:v>
                </c:pt>
                <c:pt idx="1">
                  <c:v>9.4308135056722892E-2</c:v>
                </c:pt>
                <c:pt idx="2">
                  <c:v>0.21142789074288498</c:v>
                </c:pt>
                <c:pt idx="3">
                  <c:v>4.1289007692012498E-2</c:v>
                </c:pt>
                <c:pt idx="4">
                  <c:v>6.5259110917483681E-2</c:v>
                </c:pt>
              </c:numCache>
            </c:numRef>
          </c:val>
          <c:extLst>
            <c:ext xmlns:c16="http://schemas.microsoft.com/office/drawing/2014/chart" uri="{C3380CC4-5D6E-409C-BE32-E72D297353CC}">
              <c16:uniqueId val="{00000001-08FB-4912-950D-58C75C5EBD32}"/>
            </c:ext>
          </c:extLst>
        </c:ser>
        <c:dLbls>
          <c:showLegendKey val="0"/>
          <c:showVal val="1"/>
          <c:showCatName val="0"/>
          <c:showSerName val="0"/>
          <c:showPercent val="0"/>
          <c:showBubbleSize val="0"/>
        </c:dLbls>
        <c:gapWidth val="100"/>
        <c:axId val="99905920"/>
        <c:axId val="99907456"/>
      </c:barChart>
      <c:catAx>
        <c:axId val="99905920"/>
        <c:scaling>
          <c:orientation val="minMax"/>
        </c:scaling>
        <c:delete val="0"/>
        <c:axPos val="l"/>
        <c:numFmt formatCode="General" sourceLinked="1"/>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99907456"/>
        <c:crosses val="autoZero"/>
        <c:auto val="1"/>
        <c:lblAlgn val="ctr"/>
        <c:lblOffset val="100"/>
        <c:noMultiLvlLbl val="0"/>
      </c:catAx>
      <c:valAx>
        <c:axId val="99907456"/>
        <c:scaling>
          <c:orientation val="minMax"/>
          <c:min val="0"/>
        </c:scaling>
        <c:delete val="0"/>
        <c:axPos val="b"/>
        <c:numFmt formatCode="0%" sourceLinked="0"/>
        <c:majorTickMark val="out"/>
        <c:minorTickMark val="none"/>
        <c:tickLblPos val="nextTo"/>
        <c:txPr>
          <a:bodyPr/>
          <a:lstStyle/>
          <a:p>
            <a:pPr>
              <a:defRPr sz="750">
                <a:solidFill>
                  <a:sysClr val="windowText" lastClr="000000"/>
                </a:solidFill>
                <a:latin typeface="Arial Narrow" panose="020B0606020202030204" pitchFamily="34" charset="0"/>
                <a:cs typeface="Tahoma" pitchFamily="34" charset="0"/>
              </a:defRPr>
            </a:pPr>
            <a:endParaRPr lang="fr-FR"/>
          </a:p>
        </c:txPr>
        <c:crossAx val="99905920"/>
        <c:crosses val="autoZero"/>
        <c:crossBetween val="between"/>
      </c:valAx>
      <c:spPr>
        <a:solidFill>
          <a:schemeClr val="bg1"/>
        </a:solidFill>
        <a:ln>
          <a:noFill/>
        </a:ln>
      </c:spPr>
    </c:plotArea>
    <c:legend>
      <c:legendPos val="r"/>
      <c:layout>
        <c:manualLayout>
          <c:xMode val="edge"/>
          <c:yMode val="edge"/>
          <c:x val="0.86785868055555559"/>
          <c:y val="3.0659336719275356E-3"/>
          <c:w val="0.12828645833333333"/>
          <c:h val="0.10489298135341581"/>
        </c:manualLayout>
      </c:layout>
      <c:overlay val="0"/>
      <c:txPr>
        <a:bodyPr/>
        <a:lstStyle/>
        <a:p>
          <a:pPr>
            <a:defRPr sz="800">
              <a:solidFill>
                <a:schemeClr val="tx1"/>
              </a:solidFill>
              <a:latin typeface="Arial Narrow" panose="020B0606020202030204" pitchFamily="34" charset="0"/>
              <a:cs typeface="Tahoma" pitchFamily="34" charset="0"/>
            </a:defRPr>
          </a:pPr>
          <a:endParaRPr lang="fr-FR"/>
        </a:p>
      </c:txPr>
    </c:legend>
    <c:plotVisOnly val="1"/>
    <c:dispBlanksAs val="gap"/>
    <c:showDLblsOverMax val="0"/>
  </c:chart>
  <c:spPr>
    <a:solidFill>
      <a:sysClr val="window" lastClr="FFFFFF"/>
    </a:solidFill>
    <a:ln>
      <a:noFill/>
    </a:ln>
  </c:spPr>
  <c:txPr>
    <a:bodyPr/>
    <a:lstStyle/>
    <a:p>
      <a:pPr>
        <a:defRPr>
          <a:solidFill>
            <a:schemeClr val="bg1"/>
          </a:solidFill>
          <a:latin typeface="+mn-lt"/>
        </a:defRPr>
      </a:pPr>
      <a:endParaRPr lang="fr-FR"/>
    </a:p>
  </c:txPr>
  <c:printSettings>
    <c:headerFooter/>
    <c:pageMargins b="0.75000000000001465" l="0.70000000000000062" r="0.70000000000000062" t="0.75000000000001465" header="0.30000000000000032" footer="0.30000000000000032"/>
    <c:pageSetup paperSize="9"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'Emploi et activité'!$K$25</c:f>
          <c:strCache>
            <c:ptCount val="1"/>
            <c:pt idx="0">
              <c:v>Catégorie socioprofessionnelle des actifs occupés âgés de 15 à 64 ans en 2009 et 2020 Paul Bert</c:v>
            </c:pt>
          </c:strCache>
        </c:strRef>
      </c:tx>
      <c:layout>
        <c:manualLayout>
          <c:xMode val="edge"/>
          <c:yMode val="edge"/>
          <c:x val="3.3064516129032244E-3"/>
          <c:y val="0"/>
        </c:manualLayout>
      </c:layout>
      <c:overlay val="0"/>
      <c:txPr>
        <a:bodyPr/>
        <a:lstStyle/>
        <a:p>
          <a:pPr algn="l">
            <a:defRPr sz="850">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0.42186342592592657"/>
          <c:y val="0.12397801703068199"/>
          <c:w val="0.52253207671957669"/>
          <c:h val="0.78991761660555981"/>
        </c:manualLayout>
      </c:layout>
      <c:barChart>
        <c:barDir val="bar"/>
        <c:grouping val="clustered"/>
        <c:varyColors val="0"/>
        <c:ser>
          <c:idx val="4"/>
          <c:order val="0"/>
          <c:tx>
            <c:strRef>
              <c:f>'Base de données'!$MC$100</c:f>
              <c:strCache>
                <c:ptCount val="1"/>
                <c:pt idx="0">
                  <c:v>2009</c:v>
                </c:pt>
              </c:strCache>
            </c:strRef>
          </c:tx>
          <c:spPr>
            <a:solidFill>
              <a:srgbClr val="D8B25C"/>
            </a:solidFill>
            <a:effectLst>
              <a:outerShdw blurRad="50800" dist="38100" dir="2700000" algn="tl" rotWithShape="0">
                <a:prstClr val="black">
                  <a:alpha val="40000"/>
                </a:prstClr>
              </a:outerShdw>
            </a:effectLst>
          </c:spPr>
          <c:invertIfNegative val="0"/>
          <c:dLbls>
            <c:spPr>
              <a:noFill/>
              <a:ln>
                <a:noFill/>
              </a:ln>
              <a:effectLst/>
            </c:spPr>
            <c:txPr>
              <a:bodyPr/>
              <a:lstStyle/>
              <a:p>
                <a:pPr>
                  <a:defRPr sz="750">
                    <a:solidFill>
                      <a:schemeClr val="tx1"/>
                    </a:solidFill>
                    <a:latin typeface="Arial Narrow" panose="020B0606020202030204" pitchFamily="34" charset="0"/>
                    <a:cs typeface="Tahoma"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données'!$MD$99:$MI$99</c:f>
              <c:strCache>
                <c:ptCount val="6"/>
                <c:pt idx="0">
                  <c:v>Agriculteurs exploitants</c:v>
                </c:pt>
                <c:pt idx="1">
                  <c:v>Artisans, Commerçants, Chefs d'entreprise</c:v>
                </c:pt>
                <c:pt idx="2">
                  <c:v>Cadres et Professions Intellectuelles Supérieures</c:v>
                </c:pt>
                <c:pt idx="3">
                  <c:v>Professions intermédiaires</c:v>
                </c:pt>
                <c:pt idx="4">
                  <c:v>Employés</c:v>
                </c:pt>
                <c:pt idx="5">
                  <c:v>Ouvriers</c:v>
                </c:pt>
              </c:strCache>
            </c:strRef>
          </c:cat>
          <c:val>
            <c:numRef>
              <c:f>'Base de données'!$MD$100:$MI$100</c:f>
              <c:numCache>
                <c:formatCode>0.0%</c:formatCode>
                <c:ptCount val="6"/>
                <c:pt idx="0">
                  <c:v>0</c:v>
                </c:pt>
                <c:pt idx="1">
                  <c:v>4.0922562300115775E-2</c:v>
                </c:pt>
                <c:pt idx="2">
                  <c:v>0.27236225525341018</c:v>
                </c:pt>
                <c:pt idx="3">
                  <c:v>0.3434178590634766</c:v>
                </c:pt>
                <c:pt idx="4">
                  <c:v>0.16903320329910393</c:v>
                </c:pt>
                <c:pt idx="5">
                  <c:v>0.17426412008389347</c:v>
                </c:pt>
              </c:numCache>
            </c:numRef>
          </c:val>
          <c:extLst>
            <c:ext xmlns:c16="http://schemas.microsoft.com/office/drawing/2014/chart" uri="{C3380CC4-5D6E-409C-BE32-E72D297353CC}">
              <c16:uniqueId val="{00000000-E94E-4223-BED1-BF7BA5F788A2}"/>
            </c:ext>
          </c:extLst>
        </c:ser>
        <c:ser>
          <c:idx val="3"/>
          <c:order val="1"/>
          <c:tx>
            <c:strRef>
              <c:f>'Base de données'!$MC$101</c:f>
              <c:strCache>
                <c:ptCount val="1"/>
                <c:pt idx="0">
                  <c:v>2020</c:v>
                </c:pt>
              </c:strCache>
            </c:strRef>
          </c:tx>
          <c:spPr>
            <a:solidFill>
              <a:srgbClr val="647586"/>
            </a:solidFill>
            <a:effectLst>
              <a:outerShdw blurRad="50800" dist="38100" dir="2700000" algn="tl" rotWithShape="0">
                <a:prstClr val="black">
                  <a:alpha val="40000"/>
                </a:prstClr>
              </a:outerShdw>
            </a:effectLst>
          </c:spPr>
          <c:invertIfNegative val="0"/>
          <c:dLbls>
            <c:spPr>
              <a:noFill/>
              <a:ln>
                <a:noFill/>
              </a:ln>
              <a:effectLst/>
            </c:spPr>
            <c:txPr>
              <a:bodyPr/>
              <a:lstStyle/>
              <a:p>
                <a:pPr>
                  <a:defRPr sz="750">
                    <a:solidFill>
                      <a:schemeClr val="tx1"/>
                    </a:solidFill>
                    <a:latin typeface="Arial Narrow" panose="020B0606020202030204" pitchFamily="34" charset="0"/>
                    <a:cs typeface="Tahoma"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données'!$MD$99:$MI$99</c:f>
              <c:strCache>
                <c:ptCount val="6"/>
                <c:pt idx="0">
                  <c:v>Agriculteurs exploitants</c:v>
                </c:pt>
                <c:pt idx="1">
                  <c:v>Artisans, Commerçants, Chefs d'entreprise</c:v>
                </c:pt>
                <c:pt idx="2">
                  <c:v>Cadres et Professions Intellectuelles Supérieures</c:v>
                </c:pt>
                <c:pt idx="3">
                  <c:v>Professions intermédiaires</c:v>
                </c:pt>
                <c:pt idx="4">
                  <c:v>Employés</c:v>
                </c:pt>
                <c:pt idx="5">
                  <c:v>Ouvriers</c:v>
                </c:pt>
              </c:strCache>
            </c:strRef>
          </c:cat>
          <c:val>
            <c:numRef>
              <c:f>'Base de données'!$MD$101:$MI$101</c:f>
              <c:numCache>
                <c:formatCode>0.0%</c:formatCode>
                <c:ptCount val="6"/>
                <c:pt idx="0">
                  <c:v>0</c:v>
                </c:pt>
                <c:pt idx="1">
                  <c:v>6.5714638137848155E-2</c:v>
                </c:pt>
                <c:pt idx="2">
                  <c:v>0.28913319864294651</c:v>
                </c:pt>
                <c:pt idx="3">
                  <c:v>0.31207142571352492</c:v>
                </c:pt>
                <c:pt idx="4">
                  <c:v>0.21278889885288427</c:v>
                </c:pt>
                <c:pt idx="5">
                  <c:v>0.12029183865279625</c:v>
                </c:pt>
              </c:numCache>
            </c:numRef>
          </c:val>
          <c:extLst>
            <c:ext xmlns:c16="http://schemas.microsoft.com/office/drawing/2014/chart" uri="{C3380CC4-5D6E-409C-BE32-E72D297353CC}">
              <c16:uniqueId val="{00000001-E94E-4223-BED1-BF7BA5F788A2}"/>
            </c:ext>
          </c:extLst>
        </c:ser>
        <c:dLbls>
          <c:showLegendKey val="0"/>
          <c:showVal val="0"/>
          <c:showCatName val="0"/>
          <c:showSerName val="0"/>
          <c:showPercent val="0"/>
          <c:showBubbleSize val="0"/>
        </c:dLbls>
        <c:gapWidth val="50"/>
        <c:axId val="119948032"/>
        <c:axId val="119949568"/>
      </c:barChart>
      <c:catAx>
        <c:axId val="119948032"/>
        <c:scaling>
          <c:orientation val="minMax"/>
        </c:scaling>
        <c:delete val="0"/>
        <c:axPos val="l"/>
        <c:numFmt formatCode="General" sourceLinked="0"/>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119949568"/>
        <c:crosses val="autoZero"/>
        <c:auto val="1"/>
        <c:lblAlgn val="ctr"/>
        <c:lblOffset val="100"/>
        <c:noMultiLvlLbl val="0"/>
      </c:catAx>
      <c:valAx>
        <c:axId val="119949568"/>
        <c:scaling>
          <c:orientation val="minMax"/>
        </c:scaling>
        <c:delete val="0"/>
        <c:axPos val="b"/>
        <c:numFmt formatCode="0%" sourceLinked="0"/>
        <c:majorTickMark val="out"/>
        <c:minorTickMark val="none"/>
        <c:tickLblPos val="nextTo"/>
        <c:txPr>
          <a:bodyPr/>
          <a:lstStyle/>
          <a:p>
            <a:pPr>
              <a:defRPr sz="750">
                <a:solidFill>
                  <a:sysClr val="windowText" lastClr="000000"/>
                </a:solidFill>
                <a:latin typeface="Arial Narrow" panose="020B0606020202030204" pitchFamily="34" charset="0"/>
                <a:cs typeface="Tahoma" pitchFamily="34" charset="0"/>
              </a:defRPr>
            </a:pPr>
            <a:endParaRPr lang="fr-FR"/>
          </a:p>
        </c:txPr>
        <c:crossAx val="119948032"/>
        <c:crosses val="autoZero"/>
        <c:crossBetween val="between"/>
      </c:valAx>
      <c:spPr>
        <a:ln>
          <a:noFill/>
        </a:ln>
      </c:spPr>
    </c:plotArea>
    <c:legend>
      <c:legendPos val="b"/>
      <c:layout>
        <c:manualLayout>
          <c:xMode val="edge"/>
          <c:yMode val="edge"/>
          <c:x val="0.84104062499999999"/>
          <c:y val="3.0242695433996252E-3"/>
          <c:w val="0.15895937500000001"/>
          <c:h val="9.8991718021431169E-2"/>
        </c:manualLayout>
      </c:layout>
      <c:overlay val="0"/>
      <c:txPr>
        <a:bodyPr/>
        <a:lstStyle/>
        <a:p>
          <a:pPr>
            <a:defRPr sz="800">
              <a:solidFill>
                <a:sysClr val="windowText" lastClr="000000"/>
              </a:solidFill>
              <a:latin typeface="Arial Narrow" panose="020B0606020202030204" pitchFamily="34" charset="0"/>
              <a:cs typeface="Tahoma" pitchFamily="34" charset="0"/>
            </a:defRPr>
          </a:pPr>
          <a:endParaRPr lang="fr-FR"/>
        </a:p>
      </c:txPr>
    </c:legend>
    <c:plotVisOnly val="1"/>
    <c:dispBlanksAs val="gap"/>
    <c:showDLblsOverMax val="0"/>
  </c:chart>
  <c:spPr>
    <a:solidFill>
      <a:sysClr val="window" lastClr="FFFFFF"/>
    </a:solidFill>
    <a:ln>
      <a:noFill/>
    </a:ln>
  </c:spPr>
  <c:txPr>
    <a:bodyPr/>
    <a:lstStyle/>
    <a:p>
      <a:pPr>
        <a:defRPr>
          <a:solidFill>
            <a:schemeClr val="bg1"/>
          </a:solidFill>
        </a:defRPr>
      </a:pPr>
      <a:endParaRPr lang="fr-FR"/>
    </a:p>
  </c:txPr>
  <c:printSettings>
    <c:headerFooter/>
    <c:pageMargins b="0.75000000000001465" l="0.70000000000000062" r="0.70000000000000062" t="0.75000000000001465" header="0.30000000000000032" footer="0.30000000000000032"/>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'Emploi et activité'!$K$41</c:f>
          <c:strCache>
            <c:ptCount val="1"/>
            <c:pt idx="0">
              <c:v>Part des non salariés de 15 ans ou plus
en 2009 et 2020</c:v>
            </c:pt>
          </c:strCache>
        </c:strRef>
      </c:tx>
      <c:layout>
        <c:manualLayout>
          <c:xMode val="edge"/>
          <c:yMode val="edge"/>
          <c:x val="1.1041119860017545E-3"/>
          <c:y val="0"/>
        </c:manualLayout>
      </c:layout>
      <c:overlay val="0"/>
      <c:spPr>
        <a:noFill/>
        <a:ln>
          <a:noFill/>
        </a:ln>
        <a:effectLst/>
      </c:spPr>
      <c:txPr>
        <a:bodyPr rot="0" spcFirstLastPara="1" vertOverflow="ellipsis" vert="horz" wrap="square" anchor="ctr" anchorCtr="1"/>
        <a:lstStyle/>
        <a:p>
          <a:pPr algn="l">
            <a:defRPr sz="850" b="1" i="0" u="none" strike="noStrike" kern="1200" spc="0" baseline="0">
              <a:solidFill>
                <a:sysClr val="windowText" lastClr="000000"/>
              </a:solidFill>
              <a:latin typeface="Arial Narrow" panose="020B0606020202030204" pitchFamily="34" charset="0"/>
              <a:ea typeface="+mn-ea"/>
              <a:cs typeface="+mn-cs"/>
            </a:defRPr>
          </a:pPr>
          <a:endParaRPr lang="fr-FR"/>
        </a:p>
      </c:txPr>
    </c:title>
    <c:autoTitleDeleted val="0"/>
    <c:plotArea>
      <c:layout>
        <c:manualLayout>
          <c:layoutTarget val="inner"/>
          <c:xMode val="edge"/>
          <c:yMode val="edge"/>
          <c:x val="0.13446319444444443"/>
          <c:y val="0.21166666666666667"/>
          <c:w val="0.81702986111111109"/>
          <c:h val="0.39591871345029239"/>
        </c:manualLayout>
      </c:layout>
      <c:barChart>
        <c:barDir val="col"/>
        <c:grouping val="clustered"/>
        <c:varyColors val="0"/>
        <c:ser>
          <c:idx val="1"/>
          <c:order val="0"/>
          <c:tx>
            <c:strRef>
              <c:f>'Base de données'!$MY$99:$MY$100</c:f>
              <c:strCache>
                <c:ptCount val="2"/>
                <c:pt idx="0">
                  <c:v>2009</c:v>
                </c:pt>
                <c:pt idx="1">
                  <c:v>Non salariés</c:v>
                </c:pt>
              </c:strCache>
            </c:strRef>
          </c:tx>
          <c:spPr>
            <a:solidFill>
              <a:srgbClr val="D8B25C"/>
            </a:solidFill>
            <a:ln>
              <a:noFill/>
            </a:ln>
            <a:effectLst/>
          </c:spPr>
          <c:invertIfNegative val="0"/>
          <c:dLbls>
            <c:spPr>
              <a:noFill/>
              <a:ln>
                <a:noFill/>
              </a:ln>
              <a:effectLst/>
            </c:spPr>
            <c:txPr>
              <a:bodyPr rot="-5400000" spcFirstLastPara="1" vertOverflow="ellipsis" vert="horz" wrap="square" lIns="0" tIns="19050" rIns="38100" bIns="19050" anchor="ctr" anchorCtr="1">
                <a:spAutoFit/>
              </a:bodyPr>
              <a:lstStyle/>
              <a:p>
                <a:pPr>
                  <a:defRPr sz="750" b="0" i="0" u="none" strike="noStrike" kern="1200" baseline="0">
                    <a:solidFill>
                      <a:sysClr val="windowText" lastClr="000000"/>
                    </a:solidFill>
                    <a:latin typeface="Arial Narrow" panose="020B0606020202030204" pitchFamily="34" charset="0"/>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layout/>
                <c15:showLeaderLines val="1"/>
                <c15:leaderLines>
                  <c:spPr>
                    <a:ln w="9525" cap="flat" cmpd="sng" algn="ctr">
                      <a:solidFill>
                        <a:schemeClr val="tx1">
                          <a:lumMod val="35000"/>
                          <a:lumOff val="65000"/>
                        </a:schemeClr>
                      </a:solidFill>
                      <a:round/>
                    </a:ln>
                    <a:effectLst/>
                  </c:spPr>
                </c15:leaderLines>
              </c:ext>
            </c:extLst>
          </c:dLbls>
          <c:cat>
            <c:strRef>
              <c:f>'Base de données'!$MW$101:$MW$103</c:f>
              <c:strCache>
                <c:ptCount val="3"/>
                <c:pt idx="0">
                  <c:v>Paul Bert</c:v>
                </c:pt>
                <c:pt idx="1">
                  <c:v>Tours nord</c:v>
                </c:pt>
                <c:pt idx="2">
                  <c:v>Tours</c:v>
                </c:pt>
              </c:strCache>
            </c:strRef>
          </c:cat>
          <c:val>
            <c:numRef>
              <c:f>'Base de données'!$MY$101:$MY$103</c:f>
              <c:numCache>
                <c:formatCode>0.0%</c:formatCode>
                <c:ptCount val="3"/>
                <c:pt idx="0">
                  <c:v>0.10995975197539218</c:v>
                </c:pt>
                <c:pt idx="1">
                  <c:v>6.6983172605691879E-2</c:v>
                </c:pt>
                <c:pt idx="2">
                  <c:v>8.4731556243793138E-2</c:v>
                </c:pt>
              </c:numCache>
            </c:numRef>
          </c:val>
          <c:extLst>
            <c:ext xmlns:c16="http://schemas.microsoft.com/office/drawing/2014/chart" uri="{C3380CC4-5D6E-409C-BE32-E72D297353CC}">
              <c16:uniqueId val="{00000001-CE3F-41A3-AF31-F1E371F3EC18}"/>
            </c:ext>
          </c:extLst>
        </c:ser>
        <c:ser>
          <c:idx val="3"/>
          <c:order val="1"/>
          <c:tx>
            <c:strRef>
              <c:f>'Base de données'!$NA$99:$NA$100</c:f>
              <c:strCache>
                <c:ptCount val="2"/>
                <c:pt idx="0">
                  <c:v>2020</c:v>
                </c:pt>
                <c:pt idx="1">
                  <c:v>Non salariés</c:v>
                </c:pt>
              </c:strCache>
            </c:strRef>
          </c:tx>
          <c:invertIfNegative val="0"/>
          <c:dLbls>
            <c:spPr>
              <a:noFill/>
              <a:ln>
                <a:noFill/>
              </a:ln>
              <a:effectLst/>
            </c:spPr>
            <c:txPr>
              <a:bodyPr rot="-5400000" vert="horz"/>
              <a:lstStyle/>
              <a:p>
                <a:pPr>
                  <a:defRPr sz="750"/>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données'!$MW$101:$MW$103</c:f>
              <c:strCache>
                <c:ptCount val="3"/>
                <c:pt idx="0">
                  <c:v>Paul Bert</c:v>
                </c:pt>
                <c:pt idx="1">
                  <c:v>Tours nord</c:v>
                </c:pt>
                <c:pt idx="2">
                  <c:v>Tours</c:v>
                </c:pt>
              </c:strCache>
            </c:strRef>
          </c:cat>
          <c:val>
            <c:numRef>
              <c:f>'Base de données'!$NA$101:$NA$103</c:f>
              <c:numCache>
                <c:formatCode>0.0%</c:formatCode>
                <c:ptCount val="3"/>
                <c:pt idx="0">
                  <c:v>0.14696880572342538</c:v>
                </c:pt>
                <c:pt idx="1">
                  <c:v>8.0619087306804199E-2</c:v>
                </c:pt>
                <c:pt idx="2">
                  <c:v>0.10528848598813642</c:v>
                </c:pt>
              </c:numCache>
            </c:numRef>
          </c:val>
          <c:extLst>
            <c:ext xmlns:c16="http://schemas.microsoft.com/office/drawing/2014/chart" uri="{C3380CC4-5D6E-409C-BE32-E72D297353CC}">
              <c16:uniqueId val="{00000000-F386-49AA-BDBF-7430B0F32BC4}"/>
            </c:ext>
          </c:extLst>
        </c:ser>
        <c:dLbls>
          <c:showLegendKey val="0"/>
          <c:showVal val="0"/>
          <c:showCatName val="0"/>
          <c:showSerName val="0"/>
          <c:showPercent val="0"/>
          <c:showBubbleSize val="0"/>
        </c:dLbls>
        <c:gapWidth val="75"/>
        <c:axId val="119976320"/>
        <c:axId val="119977856"/>
      </c:barChart>
      <c:catAx>
        <c:axId val="119976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vert="horz" wrap="square" anchor="ctr" anchorCtr="1"/>
          <a:lstStyle/>
          <a:p>
            <a:pPr>
              <a:defRPr sz="750" b="0" i="0" u="none" strike="noStrike" kern="1200" baseline="0">
                <a:solidFill>
                  <a:sysClr val="windowText" lastClr="000000"/>
                </a:solidFill>
                <a:latin typeface="Arial Narrow" panose="020B0606020202030204" pitchFamily="34" charset="0"/>
                <a:ea typeface="+mn-ea"/>
                <a:cs typeface="+mn-cs"/>
              </a:defRPr>
            </a:pPr>
            <a:endParaRPr lang="fr-FR"/>
          </a:p>
        </c:txPr>
        <c:crossAx val="119977856"/>
        <c:crosses val="autoZero"/>
        <c:auto val="1"/>
        <c:lblAlgn val="ctr"/>
        <c:lblOffset val="100"/>
        <c:noMultiLvlLbl val="0"/>
      </c:catAx>
      <c:valAx>
        <c:axId val="11997785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750" b="0" i="0" u="none" strike="noStrike" kern="1200" baseline="0">
                <a:solidFill>
                  <a:sysClr val="windowText" lastClr="000000"/>
                </a:solidFill>
                <a:latin typeface="Arial Narrow" panose="020B0606020202030204" pitchFamily="34" charset="0"/>
                <a:ea typeface="+mn-ea"/>
                <a:cs typeface="+mn-cs"/>
              </a:defRPr>
            </a:pPr>
            <a:endParaRPr lang="fr-FR"/>
          </a:p>
        </c:txPr>
        <c:crossAx val="119976320"/>
        <c:crosses val="autoZero"/>
        <c:crossBetween val="between"/>
        <c:majorUnit val="5.000000000000001E-2"/>
      </c:valAx>
      <c:spPr>
        <a:noFill/>
        <a:ln>
          <a:noFill/>
        </a:ln>
        <a:effectLst/>
      </c:spPr>
    </c:plotArea>
    <c:legend>
      <c:legendPos val="r"/>
      <c:layout>
        <c:manualLayout>
          <c:xMode val="edge"/>
          <c:yMode val="edge"/>
          <c:x val="0.59630293691704284"/>
          <c:y val="4.48202894551223E-3"/>
          <c:w val="0.33879865379236668"/>
          <c:h val="0.18615602222971853"/>
        </c:manualLayout>
      </c:layout>
      <c:overlay val="0"/>
      <c:spPr>
        <a:solidFill>
          <a:schemeClr val="bg1"/>
        </a:solid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fr-FR"/>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Formation!$K$19</c:f>
          <c:strCache>
            <c:ptCount val="1"/>
            <c:pt idx="0">
              <c:v>Diplôme le plus élevé obtenu de la population 
non scolarisée en 2009 et 2020 Paul Bert</c:v>
            </c:pt>
          </c:strCache>
        </c:strRef>
      </c:tx>
      <c:layout>
        <c:manualLayout>
          <c:xMode val="edge"/>
          <c:yMode val="edge"/>
          <c:x val="1.2143404031063545E-3"/>
          <c:y val="0"/>
        </c:manualLayout>
      </c:layout>
      <c:overlay val="0"/>
      <c:txPr>
        <a:bodyPr/>
        <a:lstStyle/>
        <a:p>
          <a:pPr algn="l">
            <a:defRPr sz="850">
              <a:solidFill>
                <a:schemeClr val="tx1"/>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9.0339150492761644E-2"/>
          <c:y val="0.28084446893171749"/>
          <c:w val="0.90423895202020199"/>
          <c:h val="0.49568693850637235"/>
        </c:manualLayout>
      </c:layout>
      <c:barChart>
        <c:barDir val="col"/>
        <c:grouping val="clustered"/>
        <c:varyColors val="0"/>
        <c:ser>
          <c:idx val="1"/>
          <c:order val="0"/>
          <c:tx>
            <c:strRef>
              <c:f>'Base de données'!$OT$100</c:f>
              <c:strCache>
                <c:ptCount val="1"/>
                <c:pt idx="0">
                  <c:v>2009</c:v>
                </c:pt>
              </c:strCache>
            </c:strRef>
          </c:tx>
          <c:spPr>
            <a:solidFill>
              <a:srgbClr val="647586"/>
            </a:solidFill>
            <a:effectLst>
              <a:outerShdw blurRad="50800" dist="38100" dir="2700000" algn="tl" rotWithShape="0">
                <a:prstClr val="black">
                  <a:alpha val="40000"/>
                </a:prstClr>
              </a:outerShdw>
            </a:effectLst>
          </c:spPr>
          <c:invertIfNegative val="0"/>
          <c:dLbls>
            <c:numFmt formatCode="0.0%" sourceLinked="0"/>
            <c:spPr>
              <a:noFill/>
              <a:ln>
                <a:noFill/>
              </a:ln>
              <a:effectLst/>
            </c:spPr>
            <c:txPr>
              <a:bodyPr rot="0" vert="horz"/>
              <a:lstStyle/>
              <a:p>
                <a:pPr>
                  <a:defRPr sz="800">
                    <a:solidFill>
                      <a:schemeClr val="tx1"/>
                    </a:solidFill>
                    <a:latin typeface="Arial Narrow" panose="020B0606020202030204" pitchFamily="34" charset="0"/>
                    <a:cs typeface="Tahoma"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données'!$OU$99:$OX$99</c:f>
              <c:strCache>
                <c:ptCount val="4"/>
                <c:pt idx="0">
                  <c:v>Aucun diplôme ou BEPC, Brevet des collèges, DNB</c:v>
                </c:pt>
                <c:pt idx="1">
                  <c:v>CAP ou BEP</c:v>
                </c:pt>
                <c:pt idx="2">
                  <c:v>Baccalauréat (général, technologique, professionnel)</c:v>
                </c:pt>
                <c:pt idx="3">
                  <c:v>Diplôme de l'enseignement supérieur</c:v>
                </c:pt>
              </c:strCache>
            </c:strRef>
          </c:cat>
          <c:val>
            <c:numRef>
              <c:f>'Base de données'!$OU$100:$OX$100</c:f>
              <c:numCache>
                <c:formatCode>0.0%</c:formatCode>
                <c:ptCount val="4"/>
                <c:pt idx="0">
                  <c:v>0.2819537449507511</c:v>
                </c:pt>
                <c:pt idx="1">
                  <c:v>0.14137354094621207</c:v>
                </c:pt>
                <c:pt idx="2">
                  <c:v>0.1546085764866072</c:v>
                </c:pt>
                <c:pt idx="3">
                  <c:v>0.42206413761642964</c:v>
                </c:pt>
              </c:numCache>
            </c:numRef>
          </c:val>
          <c:extLst>
            <c:ext xmlns:c16="http://schemas.microsoft.com/office/drawing/2014/chart" uri="{C3380CC4-5D6E-409C-BE32-E72D297353CC}">
              <c16:uniqueId val="{00000000-89FB-40FA-A4DC-6C0E4A1EEE52}"/>
            </c:ext>
          </c:extLst>
        </c:ser>
        <c:ser>
          <c:idx val="0"/>
          <c:order val="1"/>
          <c:tx>
            <c:strRef>
              <c:f>'Base de données'!$OT$101</c:f>
              <c:strCache>
                <c:ptCount val="1"/>
                <c:pt idx="0">
                  <c:v>2020</c:v>
                </c:pt>
              </c:strCache>
            </c:strRef>
          </c:tx>
          <c:spPr>
            <a:solidFill>
              <a:srgbClr val="67A6A5"/>
            </a:solidFill>
            <a:ln>
              <a:noFill/>
            </a:ln>
            <a:effectLst>
              <a:outerShdw blurRad="50800" dist="38100" dir="2700000" algn="tl" rotWithShape="0">
                <a:prstClr val="black">
                  <a:alpha val="40000"/>
                </a:prstClr>
              </a:outerShdw>
            </a:effectLst>
          </c:spPr>
          <c:invertIfNegative val="0"/>
          <c:dLbls>
            <c:numFmt formatCode="0.0%" sourceLinked="0"/>
            <c:spPr>
              <a:noFill/>
              <a:ln>
                <a:noFill/>
              </a:ln>
              <a:effectLst/>
            </c:spPr>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données'!$OU$99:$OX$99</c:f>
              <c:strCache>
                <c:ptCount val="4"/>
                <c:pt idx="0">
                  <c:v>Aucun diplôme ou BEPC, Brevet des collèges, DNB</c:v>
                </c:pt>
                <c:pt idx="1">
                  <c:v>CAP ou BEP</c:v>
                </c:pt>
                <c:pt idx="2">
                  <c:v>Baccalauréat (général, technologique, professionnel)</c:v>
                </c:pt>
                <c:pt idx="3">
                  <c:v>Diplôme de l'enseignement supérieur</c:v>
                </c:pt>
              </c:strCache>
            </c:strRef>
          </c:cat>
          <c:val>
            <c:numRef>
              <c:f>'Base de données'!$OU$101:$OX$101</c:f>
              <c:numCache>
                <c:formatCode>0.0%</c:formatCode>
                <c:ptCount val="4"/>
                <c:pt idx="0">
                  <c:v>0.17741717152686126</c:v>
                </c:pt>
                <c:pt idx="1">
                  <c:v>0.14801042834363762</c:v>
                </c:pt>
                <c:pt idx="2">
                  <c:v>0.16062907052047251</c:v>
                </c:pt>
                <c:pt idx="3">
                  <c:v>0.51394332960902844</c:v>
                </c:pt>
              </c:numCache>
            </c:numRef>
          </c:val>
          <c:extLst>
            <c:ext xmlns:c16="http://schemas.microsoft.com/office/drawing/2014/chart" uri="{C3380CC4-5D6E-409C-BE32-E72D297353CC}">
              <c16:uniqueId val="{00000001-89FB-40FA-A4DC-6C0E4A1EEE52}"/>
            </c:ext>
          </c:extLst>
        </c:ser>
        <c:dLbls>
          <c:showLegendKey val="0"/>
          <c:showVal val="1"/>
          <c:showCatName val="0"/>
          <c:showSerName val="0"/>
          <c:showPercent val="0"/>
          <c:showBubbleSize val="0"/>
        </c:dLbls>
        <c:gapWidth val="100"/>
        <c:axId val="42919040"/>
        <c:axId val="42920576"/>
      </c:barChart>
      <c:catAx>
        <c:axId val="42919040"/>
        <c:scaling>
          <c:orientation val="minMax"/>
        </c:scaling>
        <c:delete val="0"/>
        <c:axPos val="b"/>
        <c:numFmt formatCode="General" sourceLinked="1"/>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42920576"/>
        <c:crosses val="autoZero"/>
        <c:auto val="1"/>
        <c:lblAlgn val="ctr"/>
        <c:lblOffset val="100"/>
        <c:noMultiLvlLbl val="0"/>
      </c:catAx>
      <c:valAx>
        <c:axId val="42920576"/>
        <c:scaling>
          <c:orientation val="minMax"/>
        </c:scaling>
        <c:delete val="0"/>
        <c:axPos val="l"/>
        <c:numFmt formatCode="0%" sourceLinked="0"/>
        <c:majorTickMark val="out"/>
        <c:minorTickMark val="none"/>
        <c:tickLblPos val="nextTo"/>
        <c:txPr>
          <a:bodyPr/>
          <a:lstStyle/>
          <a:p>
            <a:pPr>
              <a:defRPr sz="800">
                <a:solidFill>
                  <a:sysClr val="windowText" lastClr="000000"/>
                </a:solidFill>
                <a:latin typeface="Arial Narrow" panose="020B0606020202030204" pitchFamily="34" charset="0"/>
                <a:cs typeface="Tahoma" pitchFamily="34" charset="0"/>
              </a:defRPr>
            </a:pPr>
            <a:endParaRPr lang="fr-FR"/>
          </a:p>
        </c:txPr>
        <c:crossAx val="42919040"/>
        <c:crosses val="autoZero"/>
        <c:crossBetween val="between"/>
      </c:valAx>
      <c:spPr>
        <a:solidFill>
          <a:schemeClr val="bg1"/>
        </a:solidFill>
        <a:ln>
          <a:noFill/>
        </a:ln>
      </c:spPr>
    </c:plotArea>
    <c:legend>
      <c:legendPos val="t"/>
      <c:layout>
        <c:manualLayout>
          <c:xMode val="edge"/>
          <c:yMode val="edge"/>
          <c:x val="0.61604361020189324"/>
          <c:y val="5.1117281558816806E-2"/>
          <c:w val="0.26806046108128723"/>
          <c:h val="0.12324658332626726"/>
        </c:manualLayout>
      </c:layout>
      <c:overlay val="0"/>
      <c:txPr>
        <a:bodyPr/>
        <a:lstStyle/>
        <a:p>
          <a:pPr>
            <a:defRPr>
              <a:solidFill>
                <a:schemeClr val="tx1"/>
              </a:solidFill>
            </a:defRPr>
          </a:pPr>
          <a:endParaRPr lang="fr-FR"/>
        </a:p>
      </c:txPr>
    </c:legend>
    <c:plotVisOnly val="1"/>
    <c:dispBlanksAs val="gap"/>
    <c:showDLblsOverMax val="0"/>
  </c:chart>
  <c:spPr>
    <a:solidFill>
      <a:schemeClr val="bg1"/>
    </a:solidFill>
    <a:ln>
      <a:noFill/>
    </a:ln>
  </c:spPr>
  <c:txPr>
    <a:bodyPr/>
    <a:lstStyle/>
    <a:p>
      <a:pPr>
        <a:defRPr>
          <a:solidFill>
            <a:schemeClr val="bg1"/>
          </a:solidFill>
          <a:latin typeface="+mn-lt"/>
        </a:defRPr>
      </a:pPr>
      <a:endParaRPr lang="fr-FR"/>
    </a:p>
  </c:txPr>
  <c:printSettings>
    <c:headerFooter/>
    <c:pageMargins b="0.75000000000001465" l="0.70000000000000062" r="0.70000000000000062" t="0.75000000000001465" header="0.30000000000000032" footer="0.30000000000000032"/>
    <c:pageSetup paperSize="9"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Formation!$K$28</c:f>
          <c:strCache>
            <c:ptCount val="1"/>
            <c:pt idx="0">
              <c:v>Diplôme le plus élevé obtenu de la population 
non scolarisée selon le sexe en 2020 Paul Bert</c:v>
            </c:pt>
          </c:strCache>
        </c:strRef>
      </c:tx>
      <c:layout>
        <c:manualLayout>
          <c:xMode val="edge"/>
          <c:yMode val="edge"/>
          <c:x val="1.2143404031063545E-3"/>
          <c:y val="0"/>
        </c:manualLayout>
      </c:layout>
      <c:overlay val="0"/>
      <c:txPr>
        <a:bodyPr/>
        <a:lstStyle/>
        <a:p>
          <a:pPr algn="l">
            <a:defRPr sz="850">
              <a:solidFill>
                <a:schemeClr val="tx1"/>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7.0656113363222028E-2"/>
          <c:y val="0.35699328372443984"/>
          <c:w val="0.90423895202020199"/>
          <c:h val="0.53702540550053801"/>
        </c:manualLayout>
      </c:layout>
      <c:barChart>
        <c:barDir val="col"/>
        <c:grouping val="clustered"/>
        <c:varyColors val="0"/>
        <c:ser>
          <c:idx val="1"/>
          <c:order val="0"/>
          <c:tx>
            <c:strRef>
              <c:f>'Base de données'!$PH$100</c:f>
              <c:strCache>
                <c:ptCount val="1"/>
                <c:pt idx="0">
                  <c:v>HOMMES</c:v>
                </c:pt>
              </c:strCache>
            </c:strRef>
          </c:tx>
          <c:spPr>
            <a:solidFill>
              <a:srgbClr val="B9D6D5"/>
            </a:solidFill>
            <a:effectLst>
              <a:outerShdw blurRad="50800" dist="38100" dir="2700000" algn="tl" rotWithShape="0">
                <a:prstClr val="black">
                  <a:alpha val="40000"/>
                </a:prstClr>
              </a:outerShdw>
            </a:effectLst>
          </c:spPr>
          <c:invertIfNegative val="0"/>
          <c:dLbls>
            <c:numFmt formatCode="0.0%" sourceLinked="0"/>
            <c:spPr>
              <a:noFill/>
              <a:ln>
                <a:noFill/>
              </a:ln>
              <a:effectLst/>
            </c:spPr>
            <c:txPr>
              <a:bodyPr rot="0" vert="horz"/>
              <a:lstStyle/>
              <a:p>
                <a:pPr>
                  <a:defRPr sz="800">
                    <a:solidFill>
                      <a:schemeClr val="tx1"/>
                    </a:solidFill>
                    <a:latin typeface="Arial Narrow" panose="020B0606020202030204" pitchFamily="34" charset="0"/>
                    <a:cs typeface="Tahoma"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données'!$PI$99:$PL$99</c:f>
              <c:strCache>
                <c:ptCount val="4"/>
                <c:pt idx="0">
                  <c:v>Aucun diplôme ou BEPC, Brevet des collèges, DNB</c:v>
                </c:pt>
                <c:pt idx="1">
                  <c:v>CAP ou BEP</c:v>
                </c:pt>
                <c:pt idx="2">
                  <c:v>Baccalauréat (général, technologique, professionnel)</c:v>
                </c:pt>
                <c:pt idx="3">
                  <c:v>Diplôme de l'enseignement supérieur</c:v>
                </c:pt>
              </c:strCache>
            </c:strRef>
          </c:cat>
          <c:val>
            <c:numRef>
              <c:f>'Base de données'!$PI$100:$PL$100</c:f>
              <c:numCache>
                <c:formatCode>0.0%</c:formatCode>
                <c:ptCount val="4"/>
                <c:pt idx="0">
                  <c:v>0.14125390503853891</c:v>
                </c:pt>
                <c:pt idx="1">
                  <c:v>0.16082122691766557</c:v>
                </c:pt>
                <c:pt idx="2">
                  <c:v>0.18202585811514135</c:v>
                </c:pt>
                <c:pt idx="3">
                  <c:v>0.51589900992865412</c:v>
                </c:pt>
              </c:numCache>
            </c:numRef>
          </c:val>
          <c:extLst>
            <c:ext xmlns:c16="http://schemas.microsoft.com/office/drawing/2014/chart" uri="{C3380CC4-5D6E-409C-BE32-E72D297353CC}">
              <c16:uniqueId val="{00000000-BC52-4267-B5FD-300FB1F79B0D}"/>
            </c:ext>
          </c:extLst>
        </c:ser>
        <c:ser>
          <c:idx val="0"/>
          <c:order val="1"/>
          <c:tx>
            <c:strRef>
              <c:f>'Base de données'!$PH$101</c:f>
              <c:strCache>
                <c:ptCount val="1"/>
                <c:pt idx="0">
                  <c:v>FEMMES</c:v>
                </c:pt>
              </c:strCache>
            </c:strRef>
          </c:tx>
          <c:spPr>
            <a:solidFill>
              <a:srgbClr val="67A6A5"/>
            </a:solidFill>
            <a:ln>
              <a:noFill/>
            </a:ln>
            <a:effectLst>
              <a:outerShdw blurRad="50800" dist="38100" dir="2700000" algn="tl" rotWithShape="0">
                <a:prstClr val="black">
                  <a:alpha val="40000"/>
                </a:prstClr>
              </a:outerShdw>
            </a:effectLst>
          </c:spPr>
          <c:invertIfNegative val="0"/>
          <c:dLbls>
            <c:numFmt formatCode="0.0%" sourceLinked="0"/>
            <c:spPr>
              <a:noFill/>
              <a:ln>
                <a:noFill/>
              </a:ln>
              <a:effectLst/>
            </c:spPr>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données'!$PI$99:$PL$99</c:f>
              <c:strCache>
                <c:ptCount val="4"/>
                <c:pt idx="0">
                  <c:v>Aucun diplôme ou BEPC, Brevet des collèges, DNB</c:v>
                </c:pt>
                <c:pt idx="1">
                  <c:v>CAP ou BEP</c:v>
                </c:pt>
                <c:pt idx="2">
                  <c:v>Baccalauréat (général, technologique, professionnel)</c:v>
                </c:pt>
                <c:pt idx="3">
                  <c:v>Diplôme de l'enseignement supérieur</c:v>
                </c:pt>
              </c:strCache>
            </c:strRef>
          </c:cat>
          <c:val>
            <c:numRef>
              <c:f>'Base de données'!$PI$101:$PL$101</c:f>
              <c:numCache>
                <c:formatCode>0.0%</c:formatCode>
                <c:ptCount val="4"/>
                <c:pt idx="0">
                  <c:v>0.21281189442771997</c:v>
                </c:pt>
                <c:pt idx="1">
                  <c:v>0.13547188551557651</c:v>
                </c:pt>
                <c:pt idx="2">
                  <c:v>0.13968700854920654</c:v>
                </c:pt>
                <c:pt idx="3">
                  <c:v>0.51202921150749681</c:v>
                </c:pt>
              </c:numCache>
            </c:numRef>
          </c:val>
          <c:extLst>
            <c:ext xmlns:c16="http://schemas.microsoft.com/office/drawing/2014/chart" uri="{C3380CC4-5D6E-409C-BE32-E72D297353CC}">
              <c16:uniqueId val="{00000001-BC52-4267-B5FD-300FB1F79B0D}"/>
            </c:ext>
          </c:extLst>
        </c:ser>
        <c:dLbls>
          <c:showLegendKey val="0"/>
          <c:showVal val="1"/>
          <c:showCatName val="0"/>
          <c:showSerName val="0"/>
          <c:showPercent val="0"/>
          <c:showBubbleSize val="0"/>
        </c:dLbls>
        <c:gapWidth val="100"/>
        <c:axId val="120002048"/>
        <c:axId val="120003200"/>
      </c:barChart>
      <c:catAx>
        <c:axId val="120002048"/>
        <c:scaling>
          <c:orientation val="minMax"/>
        </c:scaling>
        <c:delete val="0"/>
        <c:axPos val="b"/>
        <c:numFmt formatCode="General" sourceLinked="1"/>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120003200"/>
        <c:crosses val="autoZero"/>
        <c:auto val="1"/>
        <c:lblAlgn val="ctr"/>
        <c:lblOffset val="100"/>
        <c:noMultiLvlLbl val="0"/>
      </c:catAx>
      <c:valAx>
        <c:axId val="120003200"/>
        <c:scaling>
          <c:orientation val="minMax"/>
        </c:scaling>
        <c:delete val="0"/>
        <c:axPos val="l"/>
        <c:numFmt formatCode="0%" sourceLinked="0"/>
        <c:majorTickMark val="out"/>
        <c:minorTickMark val="none"/>
        <c:tickLblPos val="nextTo"/>
        <c:txPr>
          <a:bodyPr/>
          <a:lstStyle/>
          <a:p>
            <a:pPr>
              <a:defRPr sz="800">
                <a:solidFill>
                  <a:sysClr val="windowText" lastClr="000000"/>
                </a:solidFill>
                <a:latin typeface="Arial Narrow" panose="020B0606020202030204" pitchFamily="34" charset="0"/>
                <a:cs typeface="Tahoma" pitchFamily="34" charset="0"/>
              </a:defRPr>
            </a:pPr>
            <a:endParaRPr lang="fr-FR"/>
          </a:p>
        </c:txPr>
        <c:crossAx val="120002048"/>
        <c:crosses val="autoZero"/>
        <c:crossBetween val="between"/>
      </c:valAx>
      <c:spPr>
        <a:solidFill>
          <a:schemeClr val="bg1"/>
        </a:solidFill>
        <a:ln>
          <a:noFill/>
        </a:ln>
      </c:spPr>
    </c:plotArea>
    <c:legend>
      <c:legendPos val="b"/>
      <c:layout>
        <c:manualLayout>
          <c:xMode val="edge"/>
          <c:yMode val="edge"/>
          <c:x val="0.80981704213334182"/>
          <c:y val="7.4285608882077043E-3"/>
          <c:w val="0.18390048368548503"/>
          <c:h val="0.14978406708595388"/>
        </c:manualLayout>
      </c:layout>
      <c:overlay val="0"/>
      <c:spPr>
        <a:noFill/>
      </c:spPr>
      <c:txPr>
        <a:bodyPr/>
        <a:lstStyle/>
        <a:p>
          <a:pPr>
            <a:defRPr sz="800">
              <a:solidFill>
                <a:schemeClr val="tx1"/>
              </a:solidFill>
              <a:latin typeface="Arial Narrow" panose="020B0606020202030204" pitchFamily="34" charset="0"/>
              <a:cs typeface="Tahoma" pitchFamily="34" charset="0"/>
            </a:defRPr>
          </a:pPr>
          <a:endParaRPr lang="fr-FR"/>
        </a:p>
      </c:txPr>
    </c:legend>
    <c:plotVisOnly val="1"/>
    <c:dispBlanksAs val="gap"/>
    <c:showDLblsOverMax val="0"/>
  </c:chart>
  <c:spPr>
    <a:solidFill>
      <a:schemeClr val="bg1"/>
    </a:solidFill>
    <a:ln>
      <a:noFill/>
    </a:ln>
  </c:spPr>
  <c:txPr>
    <a:bodyPr/>
    <a:lstStyle/>
    <a:p>
      <a:pPr>
        <a:defRPr>
          <a:solidFill>
            <a:schemeClr val="bg1"/>
          </a:solidFill>
          <a:latin typeface="+mn-lt"/>
        </a:defRPr>
      </a:pPr>
      <a:endParaRPr lang="fr-FR"/>
    </a:p>
  </c:txPr>
  <c:printSettings>
    <c:headerFooter/>
    <c:pageMargins b="0.75000000000001465" l="0.70000000000000062" r="0.70000000000000062" t="0.75000000000001465" header="0.30000000000000032" footer="0.30000000000000032"/>
    <c:pageSetup paperSize="9"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'Domicile-travail'!$J$5</c:f>
          <c:strCache>
            <c:ptCount val="1"/>
            <c:pt idx="0">
              <c:v>Mode de transport principal utilisé pour aller travailler en 2020 Paul Bert</c:v>
            </c:pt>
          </c:strCache>
        </c:strRef>
      </c:tx>
      <c:layout>
        <c:manualLayout>
          <c:xMode val="edge"/>
          <c:yMode val="edge"/>
          <c:x val="8.0545931758530184E-2"/>
          <c:y val="3.0684800763540921E-4"/>
        </c:manualLayout>
      </c:layout>
      <c:overlay val="0"/>
      <c:txPr>
        <a:bodyPr/>
        <a:lstStyle/>
        <a:p>
          <a:pPr algn="l">
            <a:defRPr sz="850">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7.1797209559331401E-2"/>
          <c:y val="0.10745191097688131"/>
          <c:w val="0.92527881383248145"/>
          <c:h val="0.70088931191293391"/>
        </c:manualLayout>
      </c:layout>
      <c:barChart>
        <c:barDir val="col"/>
        <c:grouping val="clustered"/>
        <c:varyColors val="0"/>
        <c:ser>
          <c:idx val="1"/>
          <c:order val="0"/>
          <c:tx>
            <c:strRef>
              <c:f>'Base de données'!$PR$100</c:f>
              <c:strCache>
                <c:ptCount val="1"/>
                <c:pt idx="0">
                  <c:v>Paul Bert</c:v>
                </c:pt>
              </c:strCache>
            </c:strRef>
          </c:tx>
          <c:spPr>
            <a:solidFill>
              <a:srgbClr val="647586"/>
            </a:solidFill>
            <a:effectLst>
              <a:outerShdw blurRad="50800" dist="38100" dir="2700000" algn="tl" rotWithShape="0">
                <a:prstClr val="black">
                  <a:alpha val="40000"/>
                </a:prstClr>
              </a:outerShdw>
            </a:effectLst>
          </c:spPr>
          <c:invertIfNegative val="0"/>
          <c:dLbls>
            <c:numFmt formatCode="0%" sourceLinked="0"/>
            <c:spPr>
              <a:noFill/>
              <a:ln>
                <a:noFill/>
              </a:ln>
              <a:effectLst/>
            </c:spPr>
            <c:txPr>
              <a:bodyPr/>
              <a:lstStyle/>
              <a:p>
                <a:pPr>
                  <a:defRPr sz="750">
                    <a:solidFill>
                      <a:sysClr val="windowText" lastClr="000000"/>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données'!$PS$99:$PX$99</c:f>
              <c:strCache>
                <c:ptCount val="6"/>
                <c:pt idx="0">
                  <c:v>Pas de transport</c:v>
                </c:pt>
                <c:pt idx="1">
                  <c:v>Marche à pied</c:v>
                </c:pt>
                <c:pt idx="2">
                  <c:v>Vélo</c:v>
                </c:pt>
                <c:pt idx="3">
                  <c:v>Deux-roues motorisé</c:v>
                </c:pt>
                <c:pt idx="4">
                  <c:v>Voiture</c:v>
                </c:pt>
                <c:pt idx="5">
                  <c:v>Transport en commun</c:v>
                </c:pt>
              </c:strCache>
            </c:strRef>
          </c:cat>
          <c:val>
            <c:numRef>
              <c:f>'Base de données'!$PS$100:$PX$100</c:f>
              <c:numCache>
                <c:formatCode>0.0%</c:formatCode>
                <c:ptCount val="6"/>
                <c:pt idx="0">
                  <c:v>4.2507668433688556E-2</c:v>
                </c:pt>
                <c:pt idx="1">
                  <c:v>7.2937563284646997E-2</c:v>
                </c:pt>
                <c:pt idx="2">
                  <c:v>0.11048498566164333</c:v>
                </c:pt>
                <c:pt idx="3">
                  <c:v>1.7327006551634088E-2</c:v>
                </c:pt>
                <c:pt idx="4">
                  <c:v>0.56782722936084584</c:v>
                </c:pt>
                <c:pt idx="5">
                  <c:v>0.18891554670754121</c:v>
                </c:pt>
              </c:numCache>
            </c:numRef>
          </c:val>
          <c:extLst>
            <c:ext xmlns:c16="http://schemas.microsoft.com/office/drawing/2014/chart" uri="{C3380CC4-5D6E-409C-BE32-E72D297353CC}">
              <c16:uniqueId val="{00000000-BEF8-4E2A-9D5E-E8FF7CD52960}"/>
            </c:ext>
          </c:extLst>
        </c:ser>
        <c:ser>
          <c:idx val="0"/>
          <c:order val="1"/>
          <c:tx>
            <c:strRef>
              <c:f>'Base de données'!$PR$101</c:f>
              <c:strCache>
                <c:ptCount val="1"/>
                <c:pt idx="0">
                  <c:v>Tours nord</c:v>
                </c:pt>
              </c:strCache>
            </c:strRef>
          </c:tx>
          <c:spPr>
            <a:solidFill>
              <a:srgbClr val="BEA387"/>
            </a:solidFill>
            <a:effectLst>
              <a:outerShdw blurRad="50800" dist="38100" dir="2700000" algn="tl" rotWithShape="0">
                <a:prstClr val="black">
                  <a:alpha val="40000"/>
                </a:prstClr>
              </a:outerShdw>
            </a:effectLst>
          </c:spPr>
          <c:invertIfNegative val="0"/>
          <c:dLbls>
            <c:numFmt formatCode="0%" sourceLinked="0"/>
            <c:spPr>
              <a:noFill/>
              <a:ln>
                <a:noFill/>
              </a:ln>
              <a:effectLst/>
            </c:spPr>
            <c:txPr>
              <a:bodyPr/>
              <a:lstStyle/>
              <a:p>
                <a:pPr>
                  <a:defRPr sz="750">
                    <a:solidFill>
                      <a:sysClr val="windowText" lastClr="000000"/>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données'!$PS$99:$PX$99</c:f>
              <c:strCache>
                <c:ptCount val="6"/>
                <c:pt idx="0">
                  <c:v>Pas de transport</c:v>
                </c:pt>
                <c:pt idx="1">
                  <c:v>Marche à pied</c:v>
                </c:pt>
                <c:pt idx="2">
                  <c:v>Vélo</c:v>
                </c:pt>
                <c:pt idx="3">
                  <c:v>Deux-roues motorisé</c:v>
                </c:pt>
                <c:pt idx="4">
                  <c:v>Voiture</c:v>
                </c:pt>
                <c:pt idx="5">
                  <c:v>Transport en commun</c:v>
                </c:pt>
              </c:strCache>
            </c:strRef>
          </c:cat>
          <c:val>
            <c:numRef>
              <c:f>'Base de données'!$PS$101:$PX$101</c:f>
              <c:numCache>
                <c:formatCode>0.0%</c:formatCode>
                <c:ptCount val="6"/>
                <c:pt idx="0">
                  <c:v>2.724166848765873E-2</c:v>
                </c:pt>
                <c:pt idx="1">
                  <c:v>5.1199482588569031E-2</c:v>
                </c:pt>
                <c:pt idx="2">
                  <c:v>4.5237977226410923E-2</c:v>
                </c:pt>
                <c:pt idx="3">
                  <c:v>1.5129325016484636E-2</c:v>
                </c:pt>
                <c:pt idx="4">
                  <c:v>0.65195908564556915</c:v>
                </c:pt>
                <c:pt idx="5">
                  <c:v>0.20923246103530754</c:v>
                </c:pt>
              </c:numCache>
            </c:numRef>
          </c:val>
          <c:extLst>
            <c:ext xmlns:c16="http://schemas.microsoft.com/office/drawing/2014/chart" uri="{C3380CC4-5D6E-409C-BE32-E72D297353CC}">
              <c16:uniqueId val="{00000001-BEF8-4E2A-9D5E-E8FF7CD52960}"/>
            </c:ext>
          </c:extLst>
        </c:ser>
        <c:ser>
          <c:idx val="2"/>
          <c:order val="2"/>
          <c:tx>
            <c:strRef>
              <c:f>'Base de données'!$PR$102</c:f>
              <c:strCache>
                <c:ptCount val="1"/>
                <c:pt idx="0">
                  <c:v>Tours</c:v>
                </c:pt>
              </c:strCache>
            </c:strRef>
          </c:tx>
          <c:spPr>
            <a:solidFill>
              <a:srgbClr val="E4D9CE"/>
            </a:solidFill>
            <a:effectLst>
              <a:outerShdw blurRad="50800" dist="50800" dir="2700000" algn="ctr" rotWithShape="0">
                <a:srgbClr val="000000">
                  <a:alpha val="40000"/>
                </a:srgbClr>
              </a:outerShdw>
            </a:effectLst>
          </c:spPr>
          <c:invertIfNegative val="0"/>
          <c:dLbls>
            <c:numFmt formatCode="0%" sourceLinked="0"/>
            <c:spPr>
              <a:noFill/>
              <a:ln>
                <a:noFill/>
              </a:ln>
              <a:effectLst/>
            </c:spPr>
            <c:txPr>
              <a:bodyPr wrap="square" lIns="38100" tIns="19050" rIns="38100" bIns="19050" anchor="ctr">
                <a:spAutoFit/>
              </a:bodyPr>
              <a:lstStyle/>
              <a:p>
                <a:pPr>
                  <a:defRPr sz="750">
                    <a:solidFill>
                      <a:sysClr val="windowText" lastClr="000000"/>
                    </a:solidFill>
                    <a:latin typeface="Arial Narrow" panose="020B060602020203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'Base de données'!$PS$99:$PX$99</c:f>
              <c:strCache>
                <c:ptCount val="6"/>
                <c:pt idx="0">
                  <c:v>Pas de transport</c:v>
                </c:pt>
                <c:pt idx="1">
                  <c:v>Marche à pied</c:v>
                </c:pt>
                <c:pt idx="2">
                  <c:v>Vélo</c:v>
                </c:pt>
                <c:pt idx="3">
                  <c:v>Deux-roues motorisé</c:v>
                </c:pt>
                <c:pt idx="4">
                  <c:v>Voiture</c:v>
                </c:pt>
                <c:pt idx="5">
                  <c:v>Transport en commun</c:v>
                </c:pt>
              </c:strCache>
            </c:strRef>
          </c:cat>
          <c:val>
            <c:numRef>
              <c:f>'Base de données'!$PS$102:$PX$102</c:f>
              <c:numCache>
                <c:formatCode>0.0%</c:formatCode>
                <c:ptCount val="6"/>
                <c:pt idx="0">
                  <c:v>3.0212523121167619E-2</c:v>
                </c:pt>
                <c:pt idx="1">
                  <c:v>0.1240179585791171</c:v>
                </c:pt>
                <c:pt idx="2">
                  <c:v>7.5175212281130513E-2</c:v>
                </c:pt>
                <c:pt idx="3">
                  <c:v>1.3775773463192453E-2</c:v>
                </c:pt>
                <c:pt idx="4">
                  <c:v>0.53306149694725113</c:v>
                </c:pt>
                <c:pt idx="5">
                  <c:v>0.22375703560814114</c:v>
                </c:pt>
              </c:numCache>
            </c:numRef>
          </c:val>
          <c:extLst>
            <c:ext xmlns:c16="http://schemas.microsoft.com/office/drawing/2014/chart" uri="{C3380CC4-5D6E-409C-BE32-E72D297353CC}">
              <c16:uniqueId val="{00000002-BEF8-4E2A-9D5E-E8FF7CD52960}"/>
            </c:ext>
          </c:extLst>
        </c:ser>
        <c:dLbls>
          <c:showLegendKey val="0"/>
          <c:showVal val="0"/>
          <c:showCatName val="0"/>
          <c:showSerName val="0"/>
          <c:showPercent val="0"/>
          <c:showBubbleSize val="0"/>
        </c:dLbls>
        <c:gapWidth val="100"/>
        <c:axId val="112550272"/>
        <c:axId val="112551808"/>
      </c:barChart>
      <c:catAx>
        <c:axId val="112550272"/>
        <c:scaling>
          <c:orientation val="minMax"/>
        </c:scaling>
        <c:delete val="0"/>
        <c:axPos val="b"/>
        <c:numFmt formatCode="General" sourceLinked="0"/>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112551808"/>
        <c:crosses val="autoZero"/>
        <c:auto val="1"/>
        <c:lblAlgn val="ctr"/>
        <c:lblOffset val="100"/>
        <c:noMultiLvlLbl val="0"/>
      </c:catAx>
      <c:valAx>
        <c:axId val="112551808"/>
        <c:scaling>
          <c:orientation val="minMax"/>
          <c:max val="1"/>
        </c:scaling>
        <c:delete val="0"/>
        <c:axPos val="l"/>
        <c:numFmt formatCode="0%" sourceLinked="0"/>
        <c:majorTickMark val="out"/>
        <c:minorTickMark val="none"/>
        <c:tickLblPos val="nextTo"/>
        <c:txPr>
          <a:bodyPr/>
          <a:lstStyle/>
          <a:p>
            <a:pPr>
              <a:defRPr sz="750">
                <a:solidFill>
                  <a:sysClr val="windowText" lastClr="000000"/>
                </a:solidFill>
                <a:latin typeface="Arial Narrow" panose="020B0606020202030204" pitchFamily="34" charset="0"/>
                <a:cs typeface="Tahoma" pitchFamily="34" charset="0"/>
              </a:defRPr>
            </a:pPr>
            <a:endParaRPr lang="fr-FR"/>
          </a:p>
        </c:txPr>
        <c:crossAx val="112550272"/>
        <c:crosses val="autoZero"/>
        <c:crossBetween val="between"/>
      </c:valAx>
      <c:spPr>
        <a:noFill/>
      </c:spPr>
    </c:plotArea>
    <c:legend>
      <c:legendPos val="b"/>
      <c:layout>
        <c:manualLayout>
          <c:xMode val="edge"/>
          <c:yMode val="edge"/>
          <c:x val="0.36276004973062576"/>
          <c:y val="0.11375020430138541"/>
          <c:w val="0.30949762858590046"/>
          <c:h val="8.797313797313798E-2"/>
        </c:manualLayout>
      </c:layout>
      <c:overlay val="0"/>
      <c:txPr>
        <a:bodyPr/>
        <a:lstStyle/>
        <a:p>
          <a:pPr>
            <a:defRPr sz="750">
              <a:solidFill>
                <a:sysClr val="windowText" lastClr="000000"/>
              </a:solidFill>
              <a:latin typeface="Arial Narrow" panose="020B0606020202030204" pitchFamily="34" charset="0"/>
              <a:cs typeface="Tahoma" pitchFamily="34" charset="0"/>
            </a:defRPr>
          </a:pPr>
          <a:endParaRPr lang="fr-FR"/>
        </a:p>
      </c:txPr>
    </c:legend>
    <c:plotVisOnly val="1"/>
    <c:dispBlanksAs val="gap"/>
    <c:showDLblsOverMax val="0"/>
  </c:chart>
  <c:spPr>
    <a:solidFill>
      <a:schemeClr val="bg1"/>
    </a:solidFill>
    <a:ln>
      <a:noFill/>
    </a:ln>
  </c:spPr>
  <c:txPr>
    <a:bodyPr/>
    <a:lstStyle/>
    <a:p>
      <a:pPr>
        <a:defRPr>
          <a:solidFill>
            <a:schemeClr val="bg1"/>
          </a:solidFill>
        </a:defRPr>
      </a:pPr>
      <a:endParaRPr lang="fr-FR"/>
    </a:p>
  </c:txPr>
  <c:printSettings>
    <c:headerFooter/>
    <c:pageMargins b="0.75000000000001465" l="0.70000000000000062" r="0.70000000000000062" t="0.7500000000000146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Démographie!$K$59</c:f>
          <c:strCache>
            <c:ptCount val="1"/>
            <c:pt idx="0">
              <c:v>Catégorie socioprofessionnelle des personnes âgées
de 15 ans ou plus en 2009 et 2020 Paul Bert</c:v>
            </c:pt>
          </c:strCache>
        </c:strRef>
      </c:tx>
      <c:layout>
        <c:manualLayout>
          <c:xMode val="edge"/>
          <c:yMode val="edge"/>
          <c:x val="1.8625817652526175E-2"/>
          <c:y val="2.428576361694243E-2"/>
        </c:manualLayout>
      </c:layout>
      <c:overlay val="0"/>
      <c:txPr>
        <a:bodyPr/>
        <a:lstStyle/>
        <a:p>
          <a:pPr algn="l">
            <a:defRPr sz="850" b="1">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0.42245272682891932"/>
          <c:y val="0.10960851337636705"/>
          <c:w val="0.90773504273504269"/>
          <c:h val="0.81764051239912727"/>
        </c:manualLayout>
      </c:layout>
      <c:barChart>
        <c:barDir val="bar"/>
        <c:grouping val="clustered"/>
        <c:varyColors val="0"/>
        <c:ser>
          <c:idx val="0"/>
          <c:order val="0"/>
          <c:tx>
            <c:strRef>
              <c:f>'Base de données'!$AN$101</c:f>
              <c:strCache>
                <c:ptCount val="1"/>
                <c:pt idx="0">
                  <c:v>2020</c:v>
                </c:pt>
              </c:strCache>
            </c:strRef>
          </c:tx>
          <c:spPr>
            <a:solidFill>
              <a:srgbClr val="BD015C"/>
            </a:solidFill>
            <a:ln>
              <a:solidFill>
                <a:schemeClr val="accent1"/>
              </a:solidFill>
            </a:ln>
          </c:spPr>
          <c:invertIfNegative val="0"/>
          <c:dLbls>
            <c:spPr>
              <a:noFill/>
              <a:ln>
                <a:noFill/>
              </a:ln>
              <a:effectLst/>
            </c:spPr>
            <c:txPr>
              <a:bodyPr/>
              <a:lstStyle/>
              <a:p>
                <a:pPr>
                  <a:defRPr sz="750">
                    <a:solidFill>
                      <a:schemeClr val="tx1"/>
                    </a:solidFill>
                    <a:latin typeface="Arial Narrow" panose="020B060602020203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données'!$AO$99:$AV$99</c:f>
              <c:strCache>
                <c:ptCount val="8"/>
                <c:pt idx="0">
                  <c:v>Agriculteurs
exploitants</c:v>
                </c:pt>
                <c:pt idx="1">
                  <c:v>Artisans, commerçants et
chefs d'entreprise</c:v>
                </c:pt>
                <c:pt idx="2">
                  <c:v>Cadres et professions
intellectuelles supérieures</c:v>
                </c:pt>
                <c:pt idx="3">
                  <c:v>Professions
intermédiaires</c:v>
                </c:pt>
                <c:pt idx="4">
                  <c:v>Employés</c:v>
                </c:pt>
                <c:pt idx="5">
                  <c:v>Ouvriers</c:v>
                </c:pt>
                <c:pt idx="6">
                  <c:v>Retraités</c:v>
                </c:pt>
                <c:pt idx="7">
                  <c:v>Autres personnes
sans activité professionnelle</c:v>
                </c:pt>
              </c:strCache>
            </c:strRef>
          </c:cat>
          <c:val>
            <c:numRef>
              <c:f>'Base de données'!$AO$101:$AV$101</c:f>
              <c:numCache>
                <c:formatCode>0%</c:formatCode>
                <c:ptCount val="8"/>
                <c:pt idx="0">
                  <c:v>0</c:v>
                </c:pt>
                <c:pt idx="1">
                  <c:v>2.8800514665406059E-2</c:v>
                </c:pt>
                <c:pt idx="2">
                  <c:v>0.13565589136647963</c:v>
                </c:pt>
                <c:pt idx="3">
                  <c:v>0.15982217163429294</c:v>
                </c:pt>
                <c:pt idx="4">
                  <c:v>0.11749165037740665</c:v>
                </c:pt>
                <c:pt idx="5">
                  <c:v>6.2389513730057897E-2</c:v>
                </c:pt>
                <c:pt idx="6">
                  <c:v>0.27113977160155783</c:v>
                </c:pt>
                <c:pt idx="7">
                  <c:v>0.22470048662479911</c:v>
                </c:pt>
              </c:numCache>
            </c:numRef>
          </c:val>
          <c:extLst>
            <c:ext xmlns:c16="http://schemas.microsoft.com/office/drawing/2014/chart" uri="{C3380CC4-5D6E-409C-BE32-E72D297353CC}">
              <c16:uniqueId val="{00000000-A766-4910-B630-74F818EF05E5}"/>
            </c:ext>
          </c:extLst>
        </c:ser>
        <c:ser>
          <c:idx val="1"/>
          <c:order val="1"/>
          <c:tx>
            <c:strRef>
              <c:f>'Base de données'!$AN$100</c:f>
              <c:strCache>
                <c:ptCount val="1"/>
                <c:pt idx="0">
                  <c:v>2009</c:v>
                </c:pt>
              </c:strCache>
            </c:strRef>
          </c:tx>
          <c:spPr>
            <a:solidFill>
              <a:schemeClr val="bg2"/>
            </a:solidFill>
            <a:ln>
              <a:solidFill>
                <a:schemeClr val="accent1"/>
              </a:solidFill>
            </a:ln>
            <a:effectLst>
              <a:outerShdw blurRad="50800" dist="38100" dir="2700000" algn="tl" rotWithShape="0">
                <a:prstClr val="black">
                  <a:alpha val="40000"/>
                </a:prstClr>
              </a:outerShdw>
            </a:effectLst>
          </c:spPr>
          <c:invertIfNegative val="0"/>
          <c:dPt>
            <c:idx val="0"/>
            <c:invertIfNegative val="0"/>
            <c:bubble3D val="0"/>
            <c:extLst>
              <c:ext xmlns:c16="http://schemas.microsoft.com/office/drawing/2014/chart" uri="{C3380CC4-5D6E-409C-BE32-E72D297353CC}">
                <c16:uniqueId val="{00000001-A766-4910-B630-74F818EF05E5}"/>
              </c:ext>
            </c:extLst>
          </c:dPt>
          <c:dPt>
            <c:idx val="1"/>
            <c:invertIfNegative val="0"/>
            <c:bubble3D val="0"/>
            <c:extLst>
              <c:ext xmlns:c16="http://schemas.microsoft.com/office/drawing/2014/chart" uri="{C3380CC4-5D6E-409C-BE32-E72D297353CC}">
                <c16:uniqueId val="{00000002-A766-4910-B630-74F818EF05E5}"/>
              </c:ext>
            </c:extLst>
          </c:dPt>
          <c:dPt>
            <c:idx val="2"/>
            <c:invertIfNegative val="0"/>
            <c:bubble3D val="0"/>
            <c:extLst>
              <c:ext xmlns:c16="http://schemas.microsoft.com/office/drawing/2014/chart" uri="{C3380CC4-5D6E-409C-BE32-E72D297353CC}">
                <c16:uniqueId val="{00000003-A766-4910-B630-74F818EF05E5}"/>
              </c:ext>
            </c:extLst>
          </c:dPt>
          <c:dPt>
            <c:idx val="3"/>
            <c:invertIfNegative val="0"/>
            <c:bubble3D val="0"/>
            <c:extLst>
              <c:ext xmlns:c16="http://schemas.microsoft.com/office/drawing/2014/chart" uri="{C3380CC4-5D6E-409C-BE32-E72D297353CC}">
                <c16:uniqueId val="{00000004-A766-4910-B630-74F818EF05E5}"/>
              </c:ext>
            </c:extLst>
          </c:dPt>
          <c:dPt>
            <c:idx val="4"/>
            <c:invertIfNegative val="0"/>
            <c:bubble3D val="0"/>
            <c:extLst>
              <c:ext xmlns:c16="http://schemas.microsoft.com/office/drawing/2014/chart" uri="{C3380CC4-5D6E-409C-BE32-E72D297353CC}">
                <c16:uniqueId val="{00000005-A766-4910-B630-74F818EF05E5}"/>
              </c:ext>
            </c:extLst>
          </c:dPt>
          <c:dPt>
            <c:idx val="5"/>
            <c:invertIfNegative val="0"/>
            <c:bubble3D val="0"/>
            <c:extLst>
              <c:ext xmlns:c16="http://schemas.microsoft.com/office/drawing/2014/chart" uri="{C3380CC4-5D6E-409C-BE32-E72D297353CC}">
                <c16:uniqueId val="{00000006-A766-4910-B630-74F818EF05E5}"/>
              </c:ext>
            </c:extLst>
          </c:dPt>
          <c:dPt>
            <c:idx val="6"/>
            <c:invertIfNegative val="0"/>
            <c:bubble3D val="0"/>
            <c:extLst>
              <c:ext xmlns:c16="http://schemas.microsoft.com/office/drawing/2014/chart" uri="{C3380CC4-5D6E-409C-BE32-E72D297353CC}">
                <c16:uniqueId val="{00000007-A766-4910-B630-74F818EF05E5}"/>
              </c:ext>
            </c:extLst>
          </c:dPt>
          <c:dPt>
            <c:idx val="7"/>
            <c:invertIfNegative val="0"/>
            <c:bubble3D val="0"/>
            <c:extLst>
              <c:ext xmlns:c16="http://schemas.microsoft.com/office/drawing/2014/chart" uri="{C3380CC4-5D6E-409C-BE32-E72D297353CC}">
                <c16:uniqueId val="{00000008-A766-4910-B630-74F818EF05E5}"/>
              </c:ext>
            </c:extLst>
          </c:dPt>
          <c:dLbls>
            <c:numFmt formatCode="0.0%" sourceLinked="0"/>
            <c:spPr>
              <a:noFill/>
              <a:ln>
                <a:noFill/>
              </a:ln>
              <a:effectLst/>
            </c:spPr>
            <c:txPr>
              <a:bodyPr anchor="t" anchorCtr="0"/>
              <a:lstStyle/>
              <a:p>
                <a:pPr>
                  <a:defRPr sz="750">
                    <a:solidFill>
                      <a:schemeClr val="tx1"/>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'Base de données'!$AO$99:$AV$99</c:f>
              <c:strCache>
                <c:ptCount val="8"/>
                <c:pt idx="0">
                  <c:v>Agriculteurs
exploitants</c:v>
                </c:pt>
                <c:pt idx="1">
                  <c:v>Artisans, commerçants et
chefs d'entreprise</c:v>
                </c:pt>
                <c:pt idx="2">
                  <c:v>Cadres et professions
intellectuelles supérieures</c:v>
                </c:pt>
                <c:pt idx="3">
                  <c:v>Professions
intermédiaires</c:v>
                </c:pt>
                <c:pt idx="4">
                  <c:v>Employés</c:v>
                </c:pt>
                <c:pt idx="5">
                  <c:v>Ouvriers</c:v>
                </c:pt>
                <c:pt idx="6">
                  <c:v>Retraités</c:v>
                </c:pt>
                <c:pt idx="7">
                  <c:v>Autres personnes
sans activité professionnelle</c:v>
                </c:pt>
              </c:strCache>
            </c:strRef>
          </c:cat>
          <c:val>
            <c:numRef>
              <c:f>'Base de données'!$AO$100:$AV$100</c:f>
              <c:numCache>
                <c:formatCode>0%</c:formatCode>
                <c:ptCount val="8"/>
                <c:pt idx="0">
                  <c:v>0</c:v>
                </c:pt>
                <c:pt idx="1">
                  <c:v>2.1760528296741459E-2</c:v>
                </c:pt>
                <c:pt idx="2">
                  <c:v>0.12566911442781736</c:v>
                </c:pt>
                <c:pt idx="3">
                  <c:v>0.16682599226901548</c:v>
                </c:pt>
                <c:pt idx="4">
                  <c:v>9.0955602369682059E-2</c:v>
                </c:pt>
                <c:pt idx="5">
                  <c:v>9.22460689459772E-2</c:v>
                </c:pt>
                <c:pt idx="6">
                  <c:v>0.24952327047360673</c:v>
                </c:pt>
                <c:pt idx="7">
                  <c:v>0.25301942321715981</c:v>
                </c:pt>
              </c:numCache>
            </c:numRef>
          </c:val>
          <c:extLst>
            <c:ext xmlns:c16="http://schemas.microsoft.com/office/drawing/2014/chart" uri="{C3380CC4-5D6E-409C-BE32-E72D297353CC}">
              <c16:uniqueId val="{00000000-E78E-48D7-8C09-303FE858FF02}"/>
            </c:ext>
          </c:extLst>
        </c:ser>
        <c:dLbls>
          <c:showLegendKey val="0"/>
          <c:showVal val="1"/>
          <c:showCatName val="0"/>
          <c:showSerName val="0"/>
          <c:showPercent val="0"/>
          <c:showBubbleSize val="0"/>
        </c:dLbls>
        <c:gapWidth val="47"/>
        <c:axId val="43072896"/>
        <c:axId val="43111552"/>
      </c:barChart>
      <c:catAx>
        <c:axId val="43072896"/>
        <c:scaling>
          <c:orientation val="minMax"/>
        </c:scaling>
        <c:delete val="0"/>
        <c:axPos val="l"/>
        <c:numFmt formatCode="General" sourceLinked="0"/>
        <c:majorTickMark val="out"/>
        <c:minorTickMark val="none"/>
        <c:tickLblPos val="nextTo"/>
        <c:txPr>
          <a:bodyPr rot="0" vert="horz" anchor="ctr" anchorCtr="1"/>
          <a:lstStyle/>
          <a:p>
            <a:pPr>
              <a:defRPr sz="700" b="1">
                <a:solidFill>
                  <a:sysClr val="windowText" lastClr="000000"/>
                </a:solidFill>
                <a:latin typeface="Arial Narrow" panose="020B0606020202030204" pitchFamily="34" charset="0"/>
                <a:cs typeface="Tahoma" pitchFamily="34" charset="0"/>
              </a:defRPr>
            </a:pPr>
            <a:endParaRPr lang="fr-FR"/>
          </a:p>
        </c:txPr>
        <c:crossAx val="43111552"/>
        <c:crosses val="autoZero"/>
        <c:auto val="1"/>
        <c:lblAlgn val="ctr"/>
        <c:lblOffset val="50"/>
        <c:noMultiLvlLbl val="0"/>
      </c:catAx>
      <c:valAx>
        <c:axId val="43111552"/>
        <c:scaling>
          <c:orientation val="minMax"/>
        </c:scaling>
        <c:delete val="0"/>
        <c:axPos val="b"/>
        <c:numFmt formatCode="0%" sourceLinked="0"/>
        <c:majorTickMark val="out"/>
        <c:minorTickMark val="none"/>
        <c:tickLblPos val="nextTo"/>
        <c:txPr>
          <a:bodyPr/>
          <a:lstStyle/>
          <a:p>
            <a:pPr>
              <a:defRPr sz="800">
                <a:solidFill>
                  <a:sysClr val="windowText" lastClr="000000"/>
                </a:solidFill>
                <a:latin typeface="Arial Narrow" panose="020B0606020202030204" pitchFamily="34" charset="0"/>
                <a:cs typeface="Tahoma" pitchFamily="34" charset="0"/>
              </a:defRPr>
            </a:pPr>
            <a:endParaRPr lang="fr-FR"/>
          </a:p>
        </c:txPr>
        <c:crossAx val="43072896"/>
        <c:crosses val="autoZero"/>
        <c:crossBetween val="between"/>
      </c:valAx>
      <c:spPr>
        <a:noFill/>
      </c:spPr>
    </c:plotArea>
    <c:legend>
      <c:legendPos val="t"/>
      <c:legendEntry>
        <c:idx val="0"/>
        <c:txPr>
          <a:bodyPr/>
          <a:lstStyle/>
          <a:p>
            <a:pPr>
              <a:defRPr>
                <a:solidFill>
                  <a:schemeClr val="tx1"/>
                </a:solidFill>
              </a:defRPr>
            </a:pPr>
            <a:endParaRPr lang="fr-FR"/>
          </a:p>
        </c:txPr>
      </c:legendEntry>
      <c:legendEntry>
        <c:idx val="1"/>
        <c:txPr>
          <a:bodyPr/>
          <a:lstStyle/>
          <a:p>
            <a:pPr>
              <a:defRPr>
                <a:solidFill>
                  <a:schemeClr val="tx1"/>
                </a:solidFill>
              </a:defRPr>
            </a:pPr>
            <a:endParaRPr lang="fr-FR"/>
          </a:p>
        </c:txPr>
      </c:legendEntry>
      <c:layout>
        <c:manualLayout>
          <c:xMode val="edge"/>
          <c:yMode val="edge"/>
          <c:x val="0.70594876921008487"/>
          <c:y val="2.0269331094662855E-2"/>
          <c:w val="0.27852533188362588"/>
          <c:h val="8.506822073577236E-2"/>
        </c:manualLayout>
      </c:layout>
      <c:overlay val="0"/>
    </c:legend>
    <c:plotVisOnly val="1"/>
    <c:dispBlanksAs val="gap"/>
    <c:showDLblsOverMax val="0"/>
  </c:chart>
  <c:spPr>
    <a:solidFill>
      <a:schemeClr val="bg1"/>
    </a:solidFill>
    <a:ln>
      <a:noFill/>
    </a:ln>
  </c:spPr>
  <c:txPr>
    <a:bodyPr/>
    <a:lstStyle/>
    <a:p>
      <a:pPr>
        <a:defRPr>
          <a:solidFill>
            <a:schemeClr val="bg1"/>
          </a:solidFill>
        </a:defRPr>
      </a:pPr>
      <a:endParaRPr lang="fr-FR"/>
    </a:p>
  </c:txPr>
  <c:printSettings>
    <c:headerFooter/>
    <c:pageMargins b="0.75000000000001465" l="0.70000000000000062" r="0.70000000000000062" t="0.75000000000001465"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Démographie!$J$39</c:f>
          <c:strCache>
            <c:ptCount val="1"/>
            <c:pt idx="0">
              <c:v>Nombre de naissances domiciliées entre 2013 et 2023</c:v>
            </c:pt>
          </c:strCache>
        </c:strRef>
      </c:tx>
      <c:layout>
        <c:manualLayout>
          <c:xMode val="edge"/>
          <c:yMode val="edge"/>
          <c:x val="9.8756014873140854E-2"/>
          <c:y val="1.1077017271575231E-2"/>
        </c:manualLayout>
      </c:layout>
      <c:overlay val="0"/>
      <c:txPr>
        <a:bodyPr/>
        <a:lstStyle/>
        <a:p>
          <a:pPr algn="l">
            <a:defRPr sz="850">
              <a:solidFill>
                <a:schemeClr val="tx1"/>
              </a:solidFill>
            </a:defRPr>
          </a:pPr>
          <a:endParaRPr lang="fr-FR"/>
        </a:p>
      </c:txPr>
    </c:title>
    <c:autoTitleDeleted val="0"/>
    <c:plotArea>
      <c:layout>
        <c:manualLayout>
          <c:layoutTarget val="inner"/>
          <c:xMode val="edge"/>
          <c:yMode val="edge"/>
          <c:x val="0.11271983889175625"/>
          <c:y val="0.18004803836935404"/>
          <c:w val="0.8872801611082437"/>
          <c:h val="0.69579085993026191"/>
        </c:manualLayout>
      </c:layout>
      <c:barChart>
        <c:barDir val="col"/>
        <c:grouping val="clustered"/>
        <c:varyColors val="0"/>
        <c:ser>
          <c:idx val="1"/>
          <c:order val="1"/>
          <c:tx>
            <c:strRef>
              <c:f>Démographie!$A$33</c:f>
              <c:strCache>
                <c:ptCount val="1"/>
                <c:pt idx="0">
                  <c:v>Paul Bert</c:v>
                </c:pt>
              </c:strCache>
            </c:strRef>
          </c:tx>
          <c:spPr>
            <a:solidFill>
              <a:schemeClr val="bg2">
                <a:lumMod val="75000"/>
              </a:schemeClr>
            </a:solidFill>
            <a:ln>
              <a:solidFill>
                <a:schemeClr val="tx1"/>
              </a:solidFill>
            </a:ln>
          </c:spPr>
          <c:invertIfNegative val="0"/>
          <c:dLbls>
            <c:spPr>
              <a:noFill/>
              <a:ln>
                <a:noFill/>
              </a:ln>
              <a:effectLst/>
            </c:spPr>
            <c:txPr>
              <a:bodyPr rot="-5400000" vert="horz"/>
              <a:lstStyle/>
              <a:p>
                <a:pPr>
                  <a:defRPr sz="800" b="1">
                    <a:solidFill>
                      <a:schemeClr val="tx1"/>
                    </a:solidFill>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Démographie!$B$33:$L$33</c:f>
              <c:numCache>
                <c:formatCode>#\ ##0\ _€</c:formatCode>
                <c:ptCount val="11"/>
                <c:pt idx="0">
                  <c:v>24</c:v>
                </c:pt>
                <c:pt idx="1">
                  <c:v>24</c:v>
                </c:pt>
                <c:pt idx="2">
                  <c:v>24</c:v>
                </c:pt>
                <c:pt idx="3">
                  <c:v>23</c:v>
                </c:pt>
                <c:pt idx="4">
                  <c:v>22</c:v>
                </c:pt>
                <c:pt idx="5">
                  <c:v>24</c:v>
                </c:pt>
                <c:pt idx="6">
                  <c:v>26</c:v>
                </c:pt>
                <c:pt idx="7">
                  <c:v>19</c:v>
                </c:pt>
                <c:pt idx="8">
                  <c:v>25</c:v>
                </c:pt>
                <c:pt idx="9">
                  <c:v>23</c:v>
                </c:pt>
                <c:pt idx="10">
                  <c:v>36</c:v>
                </c:pt>
              </c:numCache>
            </c:numRef>
          </c:val>
          <c:extLst>
            <c:ext xmlns:c16="http://schemas.microsoft.com/office/drawing/2014/chart" uri="{C3380CC4-5D6E-409C-BE32-E72D297353CC}">
              <c16:uniqueId val="{00000002-6E69-45FD-B14D-A97BD05B8F83}"/>
            </c:ext>
          </c:extLst>
        </c:ser>
        <c:ser>
          <c:idx val="2"/>
          <c:order val="2"/>
          <c:tx>
            <c:strRef>
              <c:f>Démographie!$A$34</c:f>
              <c:strCache>
                <c:ptCount val="1"/>
                <c:pt idx="0">
                  <c:v>Tours nord</c:v>
                </c:pt>
              </c:strCache>
            </c:strRef>
          </c:tx>
          <c:spPr>
            <a:solidFill>
              <a:srgbClr val="D80ED8"/>
            </a:solidFill>
          </c:spPr>
          <c:invertIfNegative val="0"/>
          <c:dLbls>
            <c:spPr>
              <a:noFill/>
              <a:ln>
                <a:noFill/>
              </a:ln>
              <a:effectLst/>
            </c:spPr>
            <c:txPr>
              <a:bodyPr rot="-5400000" vert="horz" wrap="square" lIns="38100" tIns="19050" rIns="38100" bIns="19050" anchor="ctr">
                <a:spAutoFit/>
              </a:bodyPr>
              <a:lstStyle/>
              <a:p>
                <a:pPr>
                  <a:defRPr b="1">
                    <a:solidFill>
                      <a:schemeClr val="tx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Démographie!$B$34:$L$34</c:f>
              <c:numCache>
                <c:formatCode>#\ ##0\ _€</c:formatCode>
                <c:ptCount val="11"/>
                <c:pt idx="0">
                  <c:v>408</c:v>
                </c:pt>
                <c:pt idx="1">
                  <c:v>433</c:v>
                </c:pt>
                <c:pt idx="2">
                  <c:v>424</c:v>
                </c:pt>
                <c:pt idx="3">
                  <c:v>459</c:v>
                </c:pt>
                <c:pt idx="4">
                  <c:v>431</c:v>
                </c:pt>
                <c:pt idx="5">
                  <c:v>456</c:v>
                </c:pt>
                <c:pt idx="6">
                  <c:v>477</c:v>
                </c:pt>
                <c:pt idx="7">
                  <c:v>429</c:v>
                </c:pt>
                <c:pt idx="8">
                  <c:v>444</c:v>
                </c:pt>
                <c:pt idx="9">
                  <c:v>389</c:v>
                </c:pt>
                <c:pt idx="10">
                  <c:v>438</c:v>
                </c:pt>
              </c:numCache>
            </c:numRef>
          </c:val>
          <c:extLst>
            <c:ext xmlns:c16="http://schemas.microsoft.com/office/drawing/2014/chart" uri="{C3380CC4-5D6E-409C-BE32-E72D297353CC}">
              <c16:uniqueId val="{00000002-E11F-4BA5-A940-4EEB705E3244}"/>
            </c:ext>
          </c:extLst>
        </c:ser>
        <c:dLbls>
          <c:showLegendKey val="0"/>
          <c:showVal val="1"/>
          <c:showCatName val="0"/>
          <c:showSerName val="0"/>
          <c:showPercent val="0"/>
          <c:showBubbleSize val="0"/>
        </c:dLbls>
        <c:gapWidth val="75"/>
        <c:overlap val="-10"/>
        <c:axId val="43412096"/>
        <c:axId val="43434368"/>
        <c:extLst>
          <c:ext xmlns:c15="http://schemas.microsoft.com/office/drawing/2012/chart" uri="{02D57815-91ED-43cb-92C2-25804820EDAC}">
            <c15:filteredBarSeries>
              <c15:ser>
                <c:idx val="0"/>
                <c:order val="0"/>
                <c:tx>
                  <c:strRef>
                    <c:extLst>
                      <c:ext uri="{02D57815-91ED-43cb-92C2-25804820EDAC}">
                        <c15:formulaRef>
                          <c15:sqref>Démographie!$A$32</c15:sqref>
                        </c15:formulaRef>
                      </c:ext>
                    </c:extLst>
                    <c:strCache>
                      <c:ptCount val="1"/>
                      <c:pt idx="0">
                        <c:v>Nombre de naissances domiciliées entre 2013 et 2023</c:v>
                      </c:pt>
                    </c:strCache>
                  </c:strRef>
                </c:tx>
                <c:spPr>
                  <a:solidFill>
                    <a:schemeClr val="accent2">
                      <a:lumMod val="20000"/>
                      <a:lumOff val="80000"/>
                    </a:schemeClr>
                  </a:solidFill>
                  <a:ln w="9525">
                    <a:solidFill>
                      <a:schemeClr val="tx1"/>
                    </a:solidFill>
                  </a:ln>
                  <a:effectLst>
                    <a:outerShdw blurRad="50800" dist="38100" dir="3300000" algn="ctr" rotWithShape="0">
                      <a:srgbClr val="000000">
                        <a:alpha val="40000"/>
                      </a:srgbClr>
                    </a:outerShdw>
                  </a:effectLst>
                </c:spPr>
                <c:invertIfNegative val="0"/>
                <c:dPt>
                  <c:idx val="0"/>
                  <c:invertIfNegative val="0"/>
                  <c:bubble3D val="0"/>
                  <c:extLst>
                    <c:ext xmlns:c16="http://schemas.microsoft.com/office/drawing/2014/chart" uri="{C3380CC4-5D6E-409C-BE32-E72D297353CC}">
                      <c16:uniqueId val="{00000001-6E69-45FD-B14D-A97BD05B8F83}"/>
                    </c:ext>
                  </c:extLst>
                </c:dPt>
                <c:dLbls>
                  <c:spPr>
                    <a:noFill/>
                    <a:ln>
                      <a:noFill/>
                    </a:ln>
                    <a:effectLst/>
                  </c:spPr>
                  <c:txPr>
                    <a:bodyPr rot="-5400000" vert="horz"/>
                    <a:lstStyle/>
                    <a:p>
                      <a:pPr>
                        <a:defRPr sz="800" b="1">
                          <a:solidFill>
                            <a:schemeClr val="tx1"/>
                          </a:solidFill>
                        </a:defRPr>
                      </a:pPr>
                      <a:endParaRPr lang="fr-FR"/>
                    </a:p>
                  </c:txPr>
                  <c:dLblPos val="inEnd"/>
                  <c:showLegendKey val="0"/>
                  <c:showVal val="1"/>
                  <c:showCatName val="0"/>
                  <c:showSerName val="0"/>
                  <c:showPercent val="0"/>
                  <c:showBubbleSize val="0"/>
                  <c:showLeaderLines val="0"/>
                  <c:extLst>
                    <c:ext uri="{CE6537A1-D6FC-4f65-9D91-7224C49458BB}">
                      <c15:showLeaderLines val="0"/>
                    </c:ext>
                  </c:extLst>
                </c:dLbls>
                <c:val>
                  <c:numRef>
                    <c:extLst>
                      <c:ext uri="{02D57815-91ED-43cb-92C2-25804820EDAC}">
                        <c15:formulaRef>
                          <c15:sqref>Démographie!$B$32:$L$32</c15:sqref>
                        </c15:formulaRef>
                      </c:ext>
                    </c:extLst>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val>
                <c:extLst>
                  <c:ext xmlns:c16="http://schemas.microsoft.com/office/drawing/2014/chart" uri="{C3380CC4-5D6E-409C-BE32-E72D297353CC}">
                    <c16:uniqueId val="{00000000-AB1B-4B91-8C2D-0659350BEBCB}"/>
                  </c:ext>
                </c:extLst>
              </c15:ser>
            </c15:filteredBarSeries>
          </c:ext>
        </c:extLst>
      </c:barChart>
      <c:catAx>
        <c:axId val="43412096"/>
        <c:scaling>
          <c:orientation val="minMax"/>
        </c:scaling>
        <c:delete val="0"/>
        <c:axPos val="b"/>
        <c:numFmt formatCode="General" sourceLinked="1"/>
        <c:majorTickMark val="out"/>
        <c:minorTickMark val="none"/>
        <c:tickLblPos val="nextTo"/>
        <c:txPr>
          <a:bodyPr/>
          <a:lstStyle/>
          <a:p>
            <a:pPr>
              <a:defRPr sz="800">
                <a:solidFill>
                  <a:schemeClr val="tx1"/>
                </a:solidFill>
              </a:defRPr>
            </a:pPr>
            <a:endParaRPr lang="fr-FR"/>
          </a:p>
        </c:txPr>
        <c:crossAx val="43434368"/>
        <c:crosses val="autoZero"/>
        <c:auto val="1"/>
        <c:lblAlgn val="ctr"/>
        <c:lblOffset val="100"/>
        <c:noMultiLvlLbl val="0"/>
      </c:catAx>
      <c:valAx>
        <c:axId val="43434368"/>
        <c:scaling>
          <c:orientation val="minMax"/>
        </c:scaling>
        <c:delete val="0"/>
        <c:axPos val="l"/>
        <c:numFmt formatCode="#\ ##0\ _€" sourceLinked="1"/>
        <c:majorTickMark val="out"/>
        <c:minorTickMark val="none"/>
        <c:tickLblPos val="nextTo"/>
        <c:txPr>
          <a:bodyPr/>
          <a:lstStyle/>
          <a:p>
            <a:pPr>
              <a:defRPr sz="750">
                <a:solidFill>
                  <a:schemeClr val="tx1"/>
                </a:solidFill>
              </a:defRPr>
            </a:pPr>
            <a:endParaRPr lang="fr-FR"/>
          </a:p>
        </c:txPr>
        <c:crossAx val="43412096"/>
        <c:crosses val="autoZero"/>
        <c:crossBetween val="between"/>
      </c:valAx>
      <c:spPr>
        <a:solidFill>
          <a:schemeClr val="bg1"/>
        </a:solidFill>
      </c:spPr>
    </c:plotArea>
    <c:legend>
      <c:legendPos val="t"/>
      <c:layout>
        <c:manualLayout>
          <c:xMode val="edge"/>
          <c:yMode val="edge"/>
          <c:x val="0.42747082040881257"/>
          <c:y val="0.11062351383292278"/>
          <c:w val="0.37432496447181429"/>
          <c:h val="6.8070920638578475E-2"/>
        </c:manualLayout>
      </c:layout>
      <c:overlay val="0"/>
      <c:txPr>
        <a:bodyPr/>
        <a:lstStyle/>
        <a:p>
          <a:pPr>
            <a:defRPr>
              <a:solidFill>
                <a:schemeClr val="tx1"/>
              </a:solidFill>
            </a:defRPr>
          </a:pPr>
          <a:endParaRPr lang="fr-FR"/>
        </a:p>
      </c:txPr>
    </c:legend>
    <c:plotVisOnly val="1"/>
    <c:dispBlanksAs val="gap"/>
    <c:showDLblsOverMax val="0"/>
  </c:chart>
  <c:spPr>
    <a:solidFill>
      <a:schemeClr val="bg1"/>
    </a:solidFill>
    <a:ln>
      <a:noFill/>
    </a:ln>
  </c:spPr>
  <c:txPr>
    <a:bodyPr/>
    <a:lstStyle/>
    <a:p>
      <a:pPr>
        <a:defRPr>
          <a:solidFill>
            <a:schemeClr val="bg1"/>
          </a:solidFill>
          <a:latin typeface="Arial Narrow" panose="020B0606020202030204" pitchFamily="34" charset="0"/>
        </a:defRPr>
      </a:pPr>
      <a:endParaRPr lang="fr-FR"/>
    </a:p>
  </c:txPr>
  <c:printSettings>
    <c:headerFooter/>
    <c:pageMargins b="0.75000000000001465" l="0.70000000000000062" r="0.70000000000000062" t="0.75000000000001465" header="0.30000000000000032" footer="0.30000000000000032"/>
    <c:pageSetup paperSize="9" orientation="portrait"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35494934992422"/>
          <c:y val="1.0068040857950079E-2"/>
          <c:w val="0.80448149464847729"/>
          <c:h val="0.82538107895748702"/>
        </c:manualLayout>
      </c:layout>
      <c:barChart>
        <c:barDir val="bar"/>
        <c:grouping val="clustered"/>
        <c:varyColors val="0"/>
        <c:ser>
          <c:idx val="1"/>
          <c:order val="0"/>
          <c:tx>
            <c:strRef>
              <c:f>Âge!$C$48</c:f>
              <c:strCache>
                <c:ptCount val="1"/>
                <c:pt idx="0">
                  <c:v>2020</c:v>
                </c:pt>
              </c:strCache>
            </c:strRef>
          </c:tx>
          <c:spPr>
            <a:solidFill>
              <a:srgbClr val="EEC3A8"/>
            </a:solidFill>
            <a:ln>
              <a:noFill/>
            </a:ln>
            <a:effectLst>
              <a:outerShdw blurRad="50800" dist="38100" dir="2700000" algn="tl" rotWithShape="0">
                <a:prstClr val="black">
                  <a:alpha val="40000"/>
                </a:prstClr>
              </a:outerShdw>
            </a:effectLst>
          </c:spPr>
          <c:invertIfNegative val="0"/>
          <c:cat>
            <c:strRef>
              <c:f>'Base de données'!$CS$44:$CS$49</c:f>
              <c:strCache>
                <c:ptCount val="6"/>
                <c:pt idx="0">
                  <c:v>0-14 ans</c:v>
                </c:pt>
                <c:pt idx="1">
                  <c:v>15-29 ans</c:v>
                </c:pt>
                <c:pt idx="2">
                  <c:v>30-44 ans</c:v>
                </c:pt>
                <c:pt idx="3">
                  <c:v>45-59 ans</c:v>
                </c:pt>
                <c:pt idx="4">
                  <c:v>60-74 ans</c:v>
                </c:pt>
                <c:pt idx="5">
                  <c:v>75 ans ou plus</c:v>
                </c:pt>
              </c:strCache>
            </c:strRef>
          </c:cat>
          <c:val>
            <c:numRef>
              <c:f>'Base de données'!$CY$44:$CY$49</c:f>
              <c:numCache>
                <c:formatCode>0.0%</c:formatCode>
                <c:ptCount val="6"/>
                <c:pt idx="0">
                  <c:v>7.1058135501140055E-2</c:v>
                </c:pt>
                <c:pt idx="1">
                  <c:v>0.53240962128844171</c:v>
                </c:pt>
                <c:pt idx="2">
                  <c:v>0.10419001644387491</c:v>
                </c:pt>
                <c:pt idx="3">
                  <c:v>0.11184870659974393</c:v>
                </c:pt>
                <c:pt idx="4">
                  <c:v>9.9589970873955658E-2</c:v>
                </c:pt>
                <c:pt idx="5">
                  <c:v>8.0903549292843671E-2</c:v>
                </c:pt>
              </c:numCache>
            </c:numRef>
          </c:val>
          <c:extLst>
            <c:ext xmlns:c16="http://schemas.microsoft.com/office/drawing/2014/chart" uri="{C3380CC4-5D6E-409C-BE32-E72D297353CC}">
              <c16:uniqueId val="{00000000-776A-4775-BDEB-C90F56D4C5AB}"/>
            </c:ext>
          </c:extLst>
        </c:ser>
        <c:ser>
          <c:idx val="3"/>
          <c:order val="1"/>
          <c:tx>
            <c:strRef>
              <c:f>Âge!$B$48</c:f>
              <c:strCache>
                <c:ptCount val="1"/>
                <c:pt idx="0">
                  <c:v>2009</c:v>
                </c:pt>
              </c:strCache>
            </c:strRef>
          </c:tx>
          <c:spPr>
            <a:noFill/>
            <a:ln w="9525">
              <a:solidFill>
                <a:srgbClr val="DD8047"/>
              </a:solidFill>
            </a:ln>
          </c:spPr>
          <c:invertIfNegative val="0"/>
          <c:cat>
            <c:strRef>
              <c:f>'Base de données'!$CS$44:$CS$49</c:f>
              <c:strCache>
                <c:ptCount val="6"/>
                <c:pt idx="0">
                  <c:v>0-14 ans</c:v>
                </c:pt>
                <c:pt idx="1">
                  <c:v>15-29 ans</c:v>
                </c:pt>
                <c:pt idx="2">
                  <c:v>30-44 ans</c:v>
                </c:pt>
                <c:pt idx="3">
                  <c:v>45-59 ans</c:v>
                </c:pt>
                <c:pt idx="4">
                  <c:v>60-74 ans</c:v>
                </c:pt>
                <c:pt idx="5">
                  <c:v>75 ans ou plus</c:v>
                </c:pt>
              </c:strCache>
            </c:strRef>
          </c:cat>
          <c:val>
            <c:numRef>
              <c:f>'Base de données'!$CU$44:$CU$49</c:f>
              <c:numCache>
                <c:formatCode>0.0%</c:formatCode>
                <c:ptCount val="6"/>
                <c:pt idx="0">
                  <c:v>7.1758163008696196E-2</c:v>
                </c:pt>
                <c:pt idx="1">
                  <c:v>0.53300639057753119</c:v>
                </c:pt>
                <c:pt idx="2">
                  <c:v>9.1451211171391558E-2</c:v>
                </c:pt>
                <c:pt idx="3">
                  <c:v>0.1039686422600747</c:v>
                </c:pt>
                <c:pt idx="4">
                  <c:v>0.10687493094613638</c:v>
                </c:pt>
                <c:pt idx="5">
                  <c:v>9.2940662036169991E-2</c:v>
                </c:pt>
              </c:numCache>
            </c:numRef>
          </c:val>
          <c:extLst>
            <c:ext xmlns:c16="http://schemas.microsoft.com/office/drawing/2014/chart" uri="{C3380CC4-5D6E-409C-BE32-E72D297353CC}">
              <c16:uniqueId val="{00000001-776A-4775-BDEB-C90F56D4C5AB}"/>
            </c:ext>
          </c:extLst>
        </c:ser>
        <c:ser>
          <c:idx val="0"/>
          <c:order val="2"/>
          <c:tx>
            <c:strRef>
              <c:f>Âge!$C$48</c:f>
              <c:strCache>
                <c:ptCount val="1"/>
                <c:pt idx="0">
                  <c:v>2020</c:v>
                </c:pt>
              </c:strCache>
            </c:strRef>
          </c:tx>
          <c:spPr>
            <a:solidFill>
              <a:srgbClr val="8796A5"/>
            </a:solidFill>
            <a:ln>
              <a:noFill/>
            </a:ln>
            <a:effectLst>
              <a:outerShdw blurRad="50800" dist="38100" dir="2700000" algn="tl" rotWithShape="0">
                <a:prstClr val="black">
                  <a:alpha val="40000"/>
                </a:prstClr>
              </a:outerShdw>
            </a:effectLst>
          </c:spPr>
          <c:invertIfNegative val="0"/>
          <c:cat>
            <c:strRef>
              <c:f>'Base de données'!$CS$44:$CS$49</c:f>
              <c:strCache>
                <c:ptCount val="6"/>
                <c:pt idx="0">
                  <c:v>0-14 ans</c:v>
                </c:pt>
                <c:pt idx="1">
                  <c:v>15-29 ans</c:v>
                </c:pt>
                <c:pt idx="2">
                  <c:v>30-44 ans</c:v>
                </c:pt>
                <c:pt idx="3">
                  <c:v>45-59 ans</c:v>
                </c:pt>
                <c:pt idx="4">
                  <c:v>60-74 ans</c:v>
                </c:pt>
                <c:pt idx="5">
                  <c:v>75 ans ou plus</c:v>
                </c:pt>
              </c:strCache>
            </c:strRef>
          </c:cat>
          <c:val>
            <c:numRef>
              <c:f>'Base de données'!$CX$44:$CX$49</c:f>
              <c:numCache>
                <c:formatCode>0.0%</c:formatCode>
                <c:ptCount val="6"/>
                <c:pt idx="0">
                  <c:v>-7.1653996075450088E-2</c:v>
                </c:pt>
                <c:pt idx="1">
                  <c:v>-0.62058853559281013</c:v>
                </c:pt>
                <c:pt idx="2">
                  <c:v>-9.4838176625219345E-2</c:v>
                </c:pt>
                <c:pt idx="3">
                  <c:v>-0.11577274984261812</c:v>
                </c:pt>
                <c:pt idx="4">
                  <c:v>-5.4365886755146024E-2</c:v>
                </c:pt>
                <c:pt idx="5">
                  <c:v>-4.2780655108756352E-2</c:v>
                </c:pt>
              </c:numCache>
            </c:numRef>
          </c:val>
          <c:extLst>
            <c:ext xmlns:c16="http://schemas.microsoft.com/office/drawing/2014/chart" uri="{C3380CC4-5D6E-409C-BE32-E72D297353CC}">
              <c16:uniqueId val="{00000002-776A-4775-BDEB-C90F56D4C5AB}"/>
            </c:ext>
          </c:extLst>
        </c:ser>
        <c:ser>
          <c:idx val="2"/>
          <c:order val="3"/>
          <c:tx>
            <c:strRef>
              <c:f>Âge!$B$48</c:f>
              <c:strCache>
                <c:ptCount val="1"/>
                <c:pt idx="0">
                  <c:v>2009</c:v>
                </c:pt>
              </c:strCache>
            </c:strRef>
          </c:tx>
          <c:spPr>
            <a:noFill/>
            <a:ln w="9525">
              <a:solidFill>
                <a:srgbClr val="3E4954"/>
              </a:solidFill>
            </a:ln>
          </c:spPr>
          <c:invertIfNegative val="0"/>
          <c:cat>
            <c:strRef>
              <c:f>'Base de données'!$CS$44:$CS$49</c:f>
              <c:strCache>
                <c:ptCount val="6"/>
                <c:pt idx="0">
                  <c:v>0-14 ans</c:v>
                </c:pt>
                <c:pt idx="1">
                  <c:v>15-29 ans</c:v>
                </c:pt>
                <c:pt idx="2">
                  <c:v>30-44 ans</c:v>
                </c:pt>
                <c:pt idx="3">
                  <c:v>45-59 ans</c:v>
                </c:pt>
                <c:pt idx="4">
                  <c:v>60-74 ans</c:v>
                </c:pt>
                <c:pt idx="5">
                  <c:v>75 ans ou plus</c:v>
                </c:pt>
              </c:strCache>
            </c:strRef>
          </c:cat>
          <c:val>
            <c:numRef>
              <c:f>'Base de données'!$CT$44:$CT$49</c:f>
              <c:numCache>
                <c:formatCode>0.0%</c:formatCode>
                <c:ptCount val="6"/>
                <c:pt idx="0">
                  <c:v>-6.5105811379914905E-2</c:v>
                </c:pt>
                <c:pt idx="1">
                  <c:v>-0.63976513326080175</c:v>
                </c:pt>
                <c:pt idx="2">
                  <c:v>-0.11572011824127577</c:v>
                </c:pt>
                <c:pt idx="3">
                  <c:v>-8.0000594037611519E-2</c:v>
                </c:pt>
                <c:pt idx="4">
                  <c:v>-5.3534283151743065E-2</c:v>
                </c:pt>
                <c:pt idx="5">
                  <c:v>-4.5874059928653073E-2</c:v>
                </c:pt>
              </c:numCache>
            </c:numRef>
          </c:val>
          <c:extLst>
            <c:ext xmlns:c16="http://schemas.microsoft.com/office/drawing/2014/chart" uri="{C3380CC4-5D6E-409C-BE32-E72D297353CC}">
              <c16:uniqueId val="{00000003-776A-4775-BDEB-C90F56D4C5AB}"/>
            </c:ext>
          </c:extLst>
        </c:ser>
        <c:dLbls>
          <c:showLegendKey val="0"/>
          <c:showVal val="0"/>
          <c:showCatName val="0"/>
          <c:showSerName val="0"/>
          <c:showPercent val="0"/>
          <c:showBubbleSize val="0"/>
        </c:dLbls>
        <c:gapWidth val="0"/>
        <c:overlap val="100"/>
        <c:axId val="110851200"/>
        <c:axId val="110852736"/>
      </c:barChart>
      <c:catAx>
        <c:axId val="110851200"/>
        <c:scaling>
          <c:orientation val="minMax"/>
        </c:scaling>
        <c:delete val="0"/>
        <c:axPos val="l"/>
        <c:numFmt formatCode="General" sourceLinked="0"/>
        <c:majorTickMark val="none"/>
        <c:minorTickMark val="none"/>
        <c:tickLblPos val="low"/>
        <c:txPr>
          <a:bodyPr/>
          <a:lstStyle/>
          <a:p>
            <a:pPr>
              <a:defRPr sz="800">
                <a:latin typeface="Arial Narrow" panose="020B0606020202030204" pitchFamily="34" charset="0"/>
                <a:cs typeface="Tahoma" pitchFamily="34" charset="0"/>
              </a:defRPr>
            </a:pPr>
            <a:endParaRPr lang="fr-FR"/>
          </a:p>
        </c:txPr>
        <c:crossAx val="110852736"/>
        <c:crossesAt val="0"/>
        <c:auto val="1"/>
        <c:lblAlgn val="ctr"/>
        <c:lblOffset val="100"/>
        <c:noMultiLvlLbl val="0"/>
      </c:catAx>
      <c:valAx>
        <c:axId val="110852736"/>
        <c:scaling>
          <c:orientation val="minMax"/>
          <c:max val="0.5"/>
          <c:min val="-0.5"/>
        </c:scaling>
        <c:delete val="0"/>
        <c:axPos val="b"/>
        <c:majorGridlines>
          <c:spPr>
            <a:ln w="3175">
              <a:prstDash val="sysDash"/>
            </a:ln>
          </c:spPr>
        </c:majorGridlines>
        <c:numFmt formatCode="0%;\ 0%" sourceLinked="0"/>
        <c:majorTickMark val="out"/>
        <c:minorTickMark val="none"/>
        <c:tickLblPos val="nextTo"/>
        <c:txPr>
          <a:bodyPr/>
          <a:lstStyle/>
          <a:p>
            <a:pPr>
              <a:defRPr sz="750">
                <a:latin typeface="Arial Narrow" panose="020B0606020202030204" pitchFamily="34" charset="0"/>
                <a:cs typeface="Tahoma" pitchFamily="34" charset="0"/>
              </a:defRPr>
            </a:pPr>
            <a:endParaRPr lang="fr-FR"/>
          </a:p>
        </c:txPr>
        <c:crossAx val="110851200"/>
        <c:crosses val="autoZero"/>
        <c:crossBetween val="between"/>
      </c:valAx>
      <c:spPr>
        <a:solidFill>
          <a:schemeClr val="bg1"/>
        </a:solidFill>
      </c:spPr>
    </c:plotArea>
    <c:legend>
      <c:legendPos val="b"/>
      <c:layout>
        <c:manualLayout>
          <c:xMode val="edge"/>
          <c:yMode val="edge"/>
          <c:x val="0.15467809009389499"/>
          <c:y val="0.92076555301716922"/>
          <c:w val="0.81104339436397344"/>
          <c:h val="7.8914666271263381E-2"/>
        </c:manualLayout>
      </c:layout>
      <c:overlay val="0"/>
      <c:spPr>
        <a:noFill/>
      </c:spPr>
      <c:txPr>
        <a:bodyPr/>
        <a:lstStyle/>
        <a:p>
          <a:pPr>
            <a:defRPr sz="800">
              <a:latin typeface="Arial Narrow" panose="020B0606020202030204" pitchFamily="34" charset="0"/>
              <a:cs typeface="Tahoma" pitchFamily="34" charset="0"/>
            </a:defRPr>
          </a:pPr>
          <a:endParaRPr lang="fr-FR"/>
        </a:p>
      </c:txPr>
    </c:legend>
    <c:plotVisOnly val="1"/>
    <c:dispBlanksAs val="gap"/>
    <c:showDLblsOverMax val="0"/>
  </c:chart>
  <c:spPr>
    <a:solidFill>
      <a:sysClr val="window" lastClr="FFFFFF"/>
    </a:solidFill>
    <a:ln>
      <a:noFill/>
    </a:ln>
    <a:effectLst/>
  </c:spPr>
  <c:printSettings>
    <c:headerFooter/>
    <c:pageMargins b="0.7500000000000141" l="0.70000000000000062" r="0.70000000000000062" t="0.7500000000000141"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1794488118635"/>
          <c:y val="2.2382087026910236E-2"/>
          <c:w val="0.81082098227259514"/>
          <c:h val="0.8422457004137176"/>
        </c:manualLayout>
      </c:layout>
      <c:barChart>
        <c:barDir val="bar"/>
        <c:grouping val="clustered"/>
        <c:varyColors val="0"/>
        <c:ser>
          <c:idx val="1"/>
          <c:order val="0"/>
          <c:tx>
            <c:strRef>
              <c:f>'Aides traitements'!$I$11</c:f>
              <c:strCache>
                <c:ptCount val="1"/>
                <c:pt idx="0">
                  <c:v>2020</c:v>
                </c:pt>
              </c:strCache>
            </c:strRef>
          </c:tx>
          <c:spPr>
            <a:solidFill>
              <a:srgbClr val="EEC3A8"/>
            </a:solidFill>
            <a:ln>
              <a:noFill/>
            </a:ln>
            <a:effectLst>
              <a:outerShdw blurRad="50800" dist="38100" dir="2700000" algn="tl" rotWithShape="0">
                <a:prstClr val="black">
                  <a:alpha val="40000"/>
                </a:prstClr>
              </a:outerShdw>
            </a:effectLst>
          </c:spPr>
          <c:invertIfNegative val="0"/>
          <c:cat>
            <c:strRef>
              <c:f>'Base de données'!$CS$9:$CS$14</c:f>
              <c:strCache>
                <c:ptCount val="6"/>
                <c:pt idx="0">
                  <c:v>0-14 ans</c:v>
                </c:pt>
                <c:pt idx="1">
                  <c:v>15-29 ans</c:v>
                </c:pt>
                <c:pt idx="2">
                  <c:v>30-44 ans</c:v>
                </c:pt>
                <c:pt idx="3">
                  <c:v>45-59 ans</c:v>
                </c:pt>
                <c:pt idx="4">
                  <c:v>60-74 ans</c:v>
                </c:pt>
                <c:pt idx="5">
                  <c:v>75 ans ou plus</c:v>
                </c:pt>
              </c:strCache>
            </c:strRef>
          </c:cat>
          <c:val>
            <c:numRef>
              <c:f>'Base de données'!$DA$44:$DA$49</c:f>
              <c:numCache>
                <c:formatCode>0.0%</c:formatCode>
                <c:ptCount val="6"/>
                <c:pt idx="0">
                  <c:v>0.11908762257714486</c:v>
                </c:pt>
                <c:pt idx="1">
                  <c:v>0.33823152409053947</c:v>
                </c:pt>
                <c:pt idx="2">
                  <c:v>0.15926258088656167</c:v>
                </c:pt>
                <c:pt idx="3">
                  <c:v>0.14598524231811297</c:v>
                </c:pt>
                <c:pt idx="4">
                  <c:v>0.14492085072618086</c:v>
                </c:pt>
                <c:pt idx="5">
                  <c:v>9.251217940146024E-2</c:v>
                </c:pt>
              </c:numCache>
            </c:numRef>
          </c:val>
          <c:extLst>
            <c:ext xmlns:c16="http://schemas.microsoft.com/office/drawing/2014/chart" uri="{C3380CC4-5D6E-409C-BE32-E72D297353CC}">
              <c16:uniqueId val="{00000000-A152-4F24-AA9F-E32EE60ECCCF}"/>
            </c:ext>
          </c:extLst>
        </c:ser>
        <c:ser>
          <c:idx val="3"/>
          <c:order val="1"/>
          <c:tx>
            <c:strRef>
              <c:f>Âge!$B$48</c:f>
              <c:strCache>
                <c:ptCount val="1"/>
                <c:pt idx="0">
                  <c:v>2009</c:v>
                </c:pt>
              </c:strCache>
            </c:strRef>
          </c:tx>
          <c:spPr>
            <a:noFill/>
            <a:ln w="9525">
              <a:solidFill>
                <a:srgbClr val="DD8047"/>
              </a:solidFill>
            </a:ln>
          </c:spPr>
          <c:invertIfNegative val="0"/>
          <c:cat>
            <c:strRef>
              <c:f>'Base de données'!$CS$9:$CS$14</c:f>
              <c:strCache>
                <c:ptCount val="6"/>
                <c:pt idx="0">
                  <c:v>0-14 ans</c:v>
                </c:pt>
                <c:pt idx="1">
                  <c:v>15-29 ans</c:v>
                </c:pt>
                <c:pt idx="2">
                  <c:v>30-44 ans</c:v>
                </c:pt>
                <c:pt idx="3">
                  <c:v>45-59 ans</c:v>
                </c:pt>
                <c:pt idx="4">
                  <c:v>60-74 ans</c:v>
                </c:pt>
                <c:pt idx="5">
                  <c:v>75 ans ou plus</c:v>
                </c:pt>
              </c:strCache>
            </c:strRef>
          </c:cat>
          <c:val>
            <c:numRef>
              <c:f>'Base de données'!$CW$44:$CW$49</c:f>
              <c:numCache>
                <c:formatCode>0.0%</c:formatCode>
                <c:ptCount val="6"/>
                <c:pt idx="0">
                  <c:v>0.1360908181240236</c:v>
                </c:pt>
                <c:pt idx="1">
                  <c:v>0.32411438133294712</c:v>
                </c:pt>
                <c:pt idx="2">
                  <c:v>0.15421889166486935</c:v>
                </c:pt>
                <c:pt idx="3">
                  <c:v>0.14926521597547684</c:v>
                </c:pt>
                <c:pt idx="4">
                  <c:v>0.13423492577869059</c:v>
                </c:pt>
                <c:pt idx="5">
                  <c:v>0.10207576712399247</c:v>
                </c:pt>
              </c:numCache>
            </c:numRef>
          </c:val>
          <c:extLst>
            <c:ext xmlns:c16="http://schemas.microsoft.com/office/drawing/2014/chart" uri="{C3380CC4-5D6E-409C-BE32-E72D297353CC}">
              <c16:uniqueId val="{00000001-A152-4F24-AA9F-E32EE60ECCCF}"/>
            </c:ext>
          </c:extLst>
        </c:ser>
        <c:ser>
          <c:idx val="0"/>
          <c:order val="2"/>
          <c:tx>
            <c:strRef>
              <c:f>'Aides traitements'!$I$11</c:f>
              <c:strCache>
                <c:ptCount val="1"/>
                <c:pt idx="0">
                  <c:v>2020</c:v>
                </c:pt>
              </c:strCache>
            </c:strRef>
          </c:tx>
          <c:spPr>
            <a:solidFill>
              <a:srgbClr val="8796A5"/>
            </a:solidFill>
            <a:ln>
              <a:noFill/>
            </a:ln>
            <a:effectLst>
              <a:outerShdw blurRad="50800" dist="38100" dir="2700000" algn="tl" rotWithShape="0">
                <a:prstClr val="black">
                  <a:alpha val="40000"/>
                </a:prstClr>
              </a:outerShdw>
            </a:effectLst>
          </c:spPr>
          <c:invertIfNegative val="0"/>
          <c:cat>
            <c:strRef>
              <c:f>'Base de données'!$CS$9:$CS$14</c:f>
              <c:strCache>
                <c:ptCount val="6"/>
                <c:pt idx="0">
                  <c:v>0-14 ans</c:v>
                </c:pt>
                <c:pt idx="1">
                  <c:v>15-29 ans</c:v>
                </c:pt>
                <c:pt idx="2">
                  <c:v>30-44 ans</c:v>
                </c:pt>
                <c:pt idx="3">
                  <c:v>45-59 ans</c:v>
                </c:pt>
                <c:pt idx="4">
                  <c:v>60-74 ans</c:v>
                </c:pt>
                <c:pt idx="5">
                  <c:v>75 ans ou plus</c:v>
                </c:pt>
              </c:strCache>
            </c:strRef>
          </c:cat>
          <c:val>
            <c:numRef>
              <c:f>'Base de données'!$CZ$44:$CZ$49</c:f>
              <c:numCache>
                <c:formatCode>0.0%</c:formatCode>
                <c:ptCount val="6"/>
                <c:pt idx="0">
                  <c:v>-0.13655710998689213</c:v>
                </c:pt>
                <c:pt idx="1">
                  <c:v>-0.37426715571806662</c:v>
                </c:pt>
                <c:pt idx="2">
                  <c:v>-0.17905608781524787</c:v>
                </c:pt>
                <c:pt idx="3">
                  <c:v>-0.15452823780809713</c:v>
                </c:pt>
                <c:pt idx="4">
                  <c:v>-0.10080514478977859</c:v>
                </c:pt>
                <c:pt idx="5">
                  <c:v>-5.4786263881917575E-2</c:v>
                </c:pt>
              </c:numCache>
            </c:numRef>
          </c:val>
          <c:extLst>
            <c:ext xmlns:c16="http://schemas.microsoft.com/office/drawing/2014/chart" uri="{C3380CC4-5D6E-409C-BE32-E72D297353CC}">
              <c16:uniqueId val="{00000002-A152-4F24-AA9F-E32EE60ECCCF}"/>
            </c:ext>
          </c:extLst>
        </c:ser>
        <c:ser>
          <c:idx val="2"/>
          <c:order val="3"/>
          <c:tx>
            <c:strRef>
              <c:f>Âge!$B$48</c:f>
              <c:strCache>
                <c:ptCount val="1"/>
                <c:pt idx="0">
                  <c:v>2009</c:v>
                </c:pt>
              </c:strCache>
            </c:strRef>
          </c:tx>
          <c:spPr>
            <a:noFill/>
            <a:ln w="9525">
              <a:solidFill>
                <a:srgbClr val="3E4954"/>
              </a:solidFill>
            </a:ln>
          </c:spPr>
          <c:invertIfNegative val="0"/>
          <c:cat>
            <c:strRef>
              <c:f>'Base de données'!$CS$9:$CS$14</c:f>
              <c:strCache>
                <c:ptCount val="6"/>
                <c:pt idx="0">
                  <c:v>0-14 ans</c:v>
                </c:pt>
                <c:pt idx="1">
                  <c:v>15-29 ans</c:v>
                </c:pt>
                <c:pt idx="2">
                  <c:v>30-44 ans</c:v>
                </c:pt>
                <c:pt idx="3">
                  <c:v>45-59 ans</c:v>
                </c:pt>
                <c:pt idx="4">
                  <c:v>60-74 ans</c:v>
                </c:pt>
                <c:pt idx="5">
                  <c:v>75 ans ou plus</c:v>
                </c:pt>
              </c:strCache>
            </c:strRef>
          </c:cat>
          <c:val>
            <c:numRef>
              <c:f>'Base de données'!$CV$44:$CV$49</c:f>
              <c:numCache>
                <c:formatCode>0.0%</c:formatCode>
                <c:ptCount val="6"/>
                <c:pt idx="0">
                  <c:v>-0.13837804408443874</c:v>
                </c:pt>
                <c:pt idx="1">
                  <c:v>-0.3864820043961304</c:v>
                </c:pt>
                <c:pt idx="2">
                  <c:v>-0.18879000009711921</c:v>
                </c:pt>
                <c:pt idx="3">
                  <c:v>-0.14571791038626836</c:v>
                </c:pt>
                <c:pt idx="4">
                  <c:v>-8.8575806380207012E-2</c:v>
                </c:pt>
                <c:pt idx="5">
                  <c:v>-5.2056234655836156E-2</c:v>
                </c:pt>
              </c:numCache>
            </c:numRef>
          </c:val>
          <c:extLst>
            <c:ext xmlns:c16="http://schemas.microsoft.com/office/drawing/2014/chart" uri="{C3380CC4-5D6E-409C-BE32-E72D297353CC}">
              <c16:uniqueId val="{00000003-A152-4F24-AA9F-E32EE60ECCCF}"/>
            </c:ext>
          </c:extLst>
        </c:ser>
        <c:dLbls>
          <c:showLegendKey val="0"/>
          <c:showVal val="0"/>
          <c:showCatName val="0"/>
          <c:showSerName val="0"/>
          <c:showPercent val="0"/>
          <c:showBubbleSize val="0"/>
        </c:dLbls>
        <c:gapWidth val="0"/>
        <c:overlap val="100"/>
        <c:axId val="120207616"/>
        <c:axId val="120213504"/>
      </c:barChart>
      <c:catAx>
        <c:axId val="120207616"/>
        <c:scaling>
          <c:orientation val="minMax"/>
        </c:scaling>
        <c:delete val="0"/>
        <c:axPos val="l"/>
        <c:numFmt formatCode="General" sourceLinked="0"/>
        <c:majorTickMark val="none"/>
        <c:minorTickMark val="none"/>
        <c:tickLblPos val="low"/>
        <c:txPr>
          <a:bodyPr/>
          <a:lstStyle/>
          <a:p>
            <a:pPr>
              <a:defRPr sz="800">
                <a:latin typeface="Arial Narrow" panose="020B0606020202030204" pitchFamily="34" charset="0"/>
                <a:cs typeface="Tahoma" pitchFamily="34" charset="0"/>
              </a:defRPr>
            </a:pPr>
            <a:endParaRPr lang="fr-FR"/>
          </a:p>
        </c:txPr>
        <c:crossAx val="120213504"/>
        <c:crosses val="autoZero"/>
        <c:auto val="1"/>
        <c:lblAlgn val="ctr"/>
        <c:lblOffset val="100"/>
        <c:noMultiLvlLbl val="0"/>
      </c:catAx>
      <c:valAx>
        <c:axId val="120213504"/>
        <c:scaling>
          <c:orientation val="minMax"/>
          <c:max val="0.5"/>
          <c:min val="-0.5"/>
        </c:scaling>
        <c:delete val="0"/>
        <c:axPos val="b"/>
        <c:majorGridlines>
          <c:spPr>
            <a:ln w="3175">
              <a:prstDash val="sysDash"/>
            </a:ln>
          </c:spPr>
        </c:majorGridlines>
        <c:numFmt formatCode="0%;\ 0%" sourceLinked="0"/>
        <c:majorTickMark val="out"/>
        <c:minorTickMark val="none"/>
        <c:tickLblPos val="nextTo"/>
        <c:txPr>
          <a:bodyPr/>
          <a:lstStyle/>
          <a:p>
            <a:pPr>
              <a:defRPr sz="750">
                <a:latin typeface="Arial Narrow" panose="020B0606020202030204" pitchFamily="34" charset="0"/>
                <a:cs typeface="Tahoma" pitchFamily="34" charset="0"/>
              </a:defRPr>
            </a:pPr>
            <a:endParaRPr lang="fr-FR"/>
          </a:p>
        </c:txPr>
        <c:crossAx val="120207616"/>
        <c:crosses val="autoZero"/>
        <c:crossBetween val="between"/>
      </c:valAx>
      <c:spPr>
        <a:solidFill>
          <a:schemeClr val="bg1"/>
        </a:solidFill>
      </c:spPr>
    </c:plotArea>
    <c:legend>
      <c:legendPos val="b"/>
      <c:layout>
        <c:manualLayout>
          <c:xMode val="edge"/>
          <c:yMode val="edge"/>
          <c:x val="0.15051855927787167"/>
          <c:y val="0.92343290130957201"/>
          <c:w val="0.81400193638770535"/>
          <c:h val="7.656702898550731E-2"/>
        </c:manualLayout>
      </c:layout>
      <c:overlay val="0"/>
      <c:spPr>
        <a:noFill/>
      </c:spPr>
      <c:txPr>
        <a:bodyPr/>
        <a:lstStyle/>
        <a:p>
          <a:pPr>
            <a:defRPr sz="800">
              <a:latin typeface="Arial Narrow" panose="020B0606020202030204" pitchFamily="34" charset="0"/>
              <a:cs typeface="Tahoma" pitchFamily="34" charset="0"/>
            </a:defRPr>
          </a:pPr>
          <a:endParaRPr lang="fr-FR"/>
        </a:p>
      </c:txPr>
    </c:legend>
    <c:plotVisOnly val="1"/>
    <c:dispBlanksAs val="gap"/>
    <c:showDLblsOverMax val="0"/>
  </c:chart>
  <c:spPr>
    <a:solidFill>
      <a:sysClr val="window" lastClr="FFFFFF"/>
    </a:solidFill>
    <a:ln>
      <a:noFill/>
    </a:ln>
    <a:effectLst/>
  </c:spPr>
  <c:printSettings>
    <c:headerFooter/>
    <c:pageMargins b="0.27559055118110226" l="0.23622047244094491" r="0.19685039370078738" t="0.15748031496063092"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Âge!$I$39</c:f>
          <c:strCache>
            <c:ptCount val="1"/>
            <c:pt idx="0">
              <c:v>Age de la population  par tranches d'âges 
entre 2009 et 2020 Paul Bert</c:v>
            </c:pt>
          </c:strCache>
        </c:strRef>
      </c:tx>
      <c:layout>
        <c:manualLayout>
          <c:xMode val="edge"/>
          <c:yMode val="edge"/>
          <c:x val="3.3065652091834514E-3"/>
          <c:y val="0"/>
        </c:manualLayout>
      </c:layout>
      <c:overlay val="0"/>
      <c:spPr>
        <a:noFill/>
      </c:spPr>
      <c:txPr>
        <a:bodyPr/>
        <a:lstStyle/>
        <a:p>
          <a:pPr algn="l">
            <a:defRPr sz="850">
              <a:solidFill>
                <a:sysClr val="windowText" lastClr="000000"/>
              </a:solidFill>
              <a:latin typeface="Arial Narrow" panose="020B0606020202030204" pitchFamily="34" charset="0"/>
              <a:cs typeface="Tahoma" pitchFamily="34" charset="0"/>
            </a:defRPr>
          </a:pPr>
          <a:endParaRPr lang="fr-FR"/>
        </a:p>
      </c:txPr>
    </c:title>
    <c:autoTitleDeleted val="0"/>
    <c:plotArea>
      <c:layout>
        <c:manualLayout>
          <c:layoutTarget val="inner"/>
          <c:xMode val="edge"/>
          <c:yMode val="edge"/>
          <c:x val="8.1408245018635694E-2"/>
          <c:y val="0.20122065057030195"/>
          <c:w val="0.91859175498136358"/>
          <c:h val="0.59826782289452374"/>
        </c:manualLayout>
      </c:layout>
      <c:barChart>
        <c:barDir val="col"/>
        <c:grouping val="clustered"/>
        <c:varyColors val="0"/>
        <c:ser>
          <c:idx val="0"/>
          <c:order val="0"/>
          <c:tx>
            <c:strRef>
              <c:f>'Base de données'!$BN$100</c:f>
              <c:strCache>
                <c:ptCount val="1"/>
                <c:pt idx="0">
                  <c:v>2009</c:v>
                </c:pt>
              </c:strCache>
            </c:strRef>
          </c:tx>
          <c:spPr>
            <a:solidFill>
              <a:srgbClr val="647586"/>
            </a:solidFill>
            <a:effectLst>
              <a:outerShdw blurRad="50800" dist="38100" dir="2700000" algn="tl" rotWithShape="0">
                <a:prstClr val="black">
                  <a:alpha val="40000"/>
                </a:prstClr>
              </a:outerShdw>
            </a:effectLst>
          </c:spPr>
          <c:invertIfNegative val="0"/>
          <c:dLbls>
            <c:dLbl>
              <c:idx val="0"/>
              <c:layout>
                <c:manualLayout>
                  <c:x val="-7.8395061728395114E-3"/>
                  <c:y val="1.350360636668458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81F-4502-9434-3A1B80D38868}"/>
                </c:ext>
              </c:extLst>
            </c:dLbl>
            <c:dLbl>
              <c:idx val="1"/>
              <c:layout>
                <c:manualLayout>
                  <c:x val="-7.8395061728395114E-3"/>
                  <c:y val="1.350360636668458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81F-4502-9434-3A1B80D38868}"/>
                </c:ext>
              </c:extLst>
            </c:dLbl>
            <c:dLbl>
              <c:idx val="2"/>
              <c:layout>
                <c:manualLayout>
                  <c:x val="-8.0394986264801568E-3"/>
                  <c:y val="1.350360636668458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81F-4502-9434-3A1B80D38868}"/>
                </c:ext>
              </c:extLst>
            </c:dLbl>
            <c:dLbl>
              <c:idx val="3"/>
              <c:layout>
                <c:manualLayout>
                  <c:x val="-4.0197493132401599E-3"/>
                  <c:y val="1.350360636668458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81F-4502-9434-3A1B80D38868}"/>
                </c:ext>
              </c:extLst>
            </c:dLbl>
            <c:dLbl>
              <c:idx val="4"/>
              <c:layout>
                <c:manualLayout>
                  <c:x val="-1.2059247939720198E-2"/>
                  <c:y val="1.350360636668458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81F-4502-9434-3A1B80D38868}"/>
                </c:ext>
              </c:extLst>
            </c:dLbl>
            <c:dLbl>
              <c:idx val="5"/>
              <c:layout>
                <c:manualLayout>
                  <c:x val="-8.0394986264801568E-3"/>
                  <c:y val="6.7518031833423081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81F-4502-9434-3A1B80D38868}"/>
                </c:ext>
              </c:extLst>
            </c:dLbl>
            <c:numFmt formatCode="0.0%" sourceLinked="0"/>
            <c:spPr>
              <a:noFill/>
            </c:spPr>
            <c:txPr>
              <a:bodyPr anchor="ctr" anchorCtr="1"/>
              <a:lstStyle/>
              <a:p>
                <a:pPr>
                  <a:defRPr sz="750">
                    <a:solidFill>
                      <a:schemeClr val="tx1"/>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de données'!$BO$99:$BT$99</c:f>
              <c:strCache>
                <c:ptCount val="6"/>
                <c:pt idx="0">
                  <c:v>0 - 14
ans</c:v>
                </c:pt>
                <c:pt idx="1">
                  <c:v>15 - 29
ans</c:v>
                </c:pt>
                <c:pt idx="2">
                  <c:v>30 - 44
ans</c:v>
                </c:pt>
                <c:pt idx="3">
                  <c:v>45 - 59
ans</c:v>
                </c:pt>
                <c:pt idx="4">
                  <c:v>60 - 74
ans</c:v>
                </c:pt>
                <c:pt idx="5">
                  <c:v>75 ans
ou plus</c:v>
                </c:pt>
              </c:strCache>
            </c:strRef>
          </c:cat>
          <c:val>
            <c:numRef>
              <c:f>'Base de données'!$BO$100:$BT$100</c:f>
              <c:numCache>
                <c:formatCode>0.0%</c:formatCode>
                <c:ptCount val="6"/>
                <c:pt idx="0">
                  <c:v>9.178134619227947E-2</c:v>
                </c:pt>
                <c:pt idx="1">
                  <c:v>0.36338731168461413</c:v>
                </c:pt>
                <c:pt idx="2">
                  <c:v>0.17689776781050678</c:v>
                </c:pt>
                <c:pt idx="3">
                  <c:v>0.11907249561143533</c:v>
                </c:pt>
                <c:pt idx="4">
                  <c:v>9.1662206154141182E-2</c:v>
                </c:pt>
                <c:pt idx="5">
                  <c:v>0.15719887254702317</c:v>
                </c:pt>
              </c:numCache>
            </c:numRef>
          </c:val>
          <c:extLst>
            <c:ext xmlns:c16="http://schemas.microsoft.com/office/drawing/2014/chart" uri="{C3380CC4-5D6E-409C-BE32-E72D297353CC}">
              <c16:uniqueId val="{00000006-D81F-4502-9434-3A1B80D38868}"/>
            </c:ext>
          </c:extLst>
        </c:ser>
        <c:ser>
          <c:idx val="1"/>
          <c:order val="1"/>
          <c:tx>
            <c:strRef>
              <c:f>'Base de données'!$BN$101</c:f>
              <c:strCache>
                <c:ptCount val="1"/>
                <c:pt idx="0">
                  <c:v>2020</c:v>
                </c:pt>
              </c:strCache>
            </c:strRef>
          </c:tx>
          <c:spPr>
            <a:solidFill>
              <a:srgbClr val="DD8047"/>
            </a:solidFill>
            <a:effectLst>
              <a:outerShdw blurRad="50800" dist="38100" dir="2700000" algn="tl" rotWithShape="0">
                <a:prstClr val="black">
                  <a:alpha val="40000"/>
                </a:prstClr>
              </a:outerShdw>
            </a:effectLst>
          </c:spPr>
          <c:invertIfNegative val="0"/>
          <c:dLbls>
            <c:dLbl>
              <c:idx val="0"/>
              <c:layout>
                <c:manualLayout>
                  <c:x val="1.2059247939720198E-2"/>
                  <c:y val="6.7518031833423081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81F-4502-9434-3A1B80D38868}"/>
                </c:ext>
              </c:extLst>
            </c:dLbl>
            <c:dLbl>
              <c:idx val="1"/>
              <c:layout>
                <c:manualLayout>
                  <c:x val="1.6078997252960293E-2"/>
                  <c:y val="1.350360636668452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81F-4502-9434-3A1B80D38868}"/>
                </c:ext>
              </c:extLst>
            </c:dLbl>
            <c:dLbl>
              <c:idx val="2"/>
              <c:layout>
                <c:manualLayout>
                  <c:x val="1.6078997252960293E-2"/>
                  <c:y val="2.02554095500268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81F-4502-9434-3A1B80D38868}"/>
                </c:ext>
              </c:extLst>
            </c:dLbl>
            <c:dLbl>
              <c:idx val="3"/>
              <c:layout>
                <c:manualLayout>
                  <c:x val="1.2059247939720274E-2"/>
                  <c:y val="2.02554095500268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D81F-4502-9434-3A1B80D38868}"/>
                </c:ext>
              </c:extLst>
            </c:dLbl>
            <c:dLbl>
              <c:idx val="4"/>
              <c:layout>
                <c:manualLayout>
                  <c:x val="1.2059247939720198E-2"/>
                  <c:y val="1.350360636668452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D81F-4502-9434-3A1B80D38868}"/>
                </c:ext>
              </c:extLst>
            </c:dLbl>
            <c:dLbl>
              <c:idx val="5"/>
              <c:layout>
                <c:manualLayout>
                  <c:x val="1.2059247939720198E-2"/>
                  <c:y val="1.350360636668458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81F-4502-9434-3A1B80D38868}"/>
                </c:ext>
              </c:extLst>
            </c:dLbl>
            <c:numFmt formatCode="0.0%" sourceLinked="0"/>
            <c:spPr>
              <a:noFill/>
            </c:spPr>
            <c:txPr>
              <a:bodyPr rot="0" anchor="ctr" anchorCtr="1"/>
              <a:lstStyle/>
              <a:p>
                <a:pPr>
                  <a:defRPr sz="750">
                    <a:solidFill>
                      <a:schemeClr val="tx1"/>
                    </a:solidFill>
                    <a:latin typeface="Arial Narrow" panose="020B0606020202030204" pitchFamily="34" charset="0"/>
                    <a:cs typeface="Tahoma"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de données'!$BO$99:$BT$99</c:f>
              <c:strCache>
                <c:ptCount val="6"/>
                <c:pt idx="0">
                  <c:v>0 - 14
ans</c:v>
                </c:pt>
                <c:pt idx="1">
                  <c:v>15 - 29
ans</c:v>
                </c:pt>
                <c:pt idx="2">
                  <c:v>30 - 44
ans</c:v>
                </c:pt>
                <c:pt idx="3">
                  <c:v>45 - 59
ans</c:v>
                </c:pt>
                <c:pt idx="4">
                  <c:v>60 - 74
ans</c:v>
                </c:pt>
                <c:pt idx="5">
                  <c:v>75 ans
ou plus</c:v>
                </c:pt>
              </c:strCache>
            </c:strRef>
          </c:cat>
          <c:val>
            <c:numRef>
              <c:f>'Base de données'!$BO$101:$BT$101</c:f>
              <c:numCache>
                <c:formatCode>0.0%</c:formatCode>
                <c:ptCount val="6"/>
                <c:pt idx="0">
                  <c:v>0.11298684869204208</c:v>
                </c:pt>
                <c:pt idx="1">
                  <c:v>0.33331884383953858</c:v>
                </c:pt>
                <c:pt idx="2">
                  <c:v>0.16361211846914547</c:v>
                </c:pt>
                <c:pt idx="3">
                  <c:v>0.12026267646344364</c:v>
                </c:pt>
                <c:pt idx="4">
                  <c:v>0.12695711340723906</c:v>
                </c:pt>
                <c:pt idx="5">
                  <c:v>0.14286239912859119</c:v>
                </c:pt>
              </c:numCache>
            </c:numRef>
          </c:val>
          <c:extLst>
            <c:ext xmlns:c16="http://schemas.microsoft.com/office/drawing/2014/chart" uri="{C3380CC4-5D6E-409C-BE32-E72D297353CC}">
              <c16:uniqueId val="{0000000D-D81F-4502-9434-3A1B80D38868}"/>
            </c:ext>
          </c:extLst>
        </c:ser>
        <c:dLbls>
          <c:showLegendKey val="0"/>
          <c:showVal val="0"/>
          <c:showCatName val="0"/>
          <c:showSerName val="0"/>
          <c:showPercent val="0"/>
          <c:showBubbleSize val="0"/>
        </c:dLbls>
        <c:gapWidth val="100"/>
        <c:axId val="120275712"/>
        <c:axId val="120277248"/>
      </c:barChart>
      <c:catAx>
        <c:axId val="120275712"/>
        <c:scaling>
          <c:orientation val="minMax"/>
        </c:scaling>
        <c:delete val="0"/>
        <c:axPos val="b"/>
        <c:numFmt formatCode="General" sourceLinked="1"/>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120277248"/>
        <c:crosses val="autoZero"/>
        <c:auto val="1"/>
        <c:lblAlgn val="ctr"/>
        <c:lblOffset val="100"/>
        <c:noMultiLvlLbl val="0"/>
      </c:catAx>
      <c:valAx>
        <c:axId val="120277248"/>
        <c:scaling>
          <c:orientation val="minMax"/>
        </c:scaling>
        <c:delete val="0"/>
        <c:axPos val="l"/>
        <c:numFmt formatCode="0%" sourceLinked="0"/>
        <c:majorTickMark val="out"/>
        <c:minorTickMark val="none"/>
        <c:tickLblPos val="nextTo"/>
        <c:txPr>
          <a:bodyPr/>
          <a:lstStyle/>
          <a:p>
            <a:pPr>
              <a:defRPr sz="750">
                <a:solidFill>
                  <a:sysClr val="windowText" lastClr="000000"/>
                </a:solidFill>
                <a:latin typeface="Arial Narrow" panose="020B0606020202030204" pitchFamily="34" charset="0"/>
                <a:cs typeface="Tahoma" pitchFamily="34" charset="0"/>
              </a:defRPr>
            </a:pPr>
            <a:endParaRPr lang="fr-FR"/>
          </a:p>
        </c:txPr>
        <c:crossAx val="120275712"/>
        <c:crosses val="autoZero"/>
        <c:crossBetween val="between"/>
      </c:valAx>
    </c:plotArea>
    <c:legend>
      <c:legendPos val="b"/>
      <c:layout>
        <c:manualLayout>
          <c:xMode val="edge"/>
          <c:yMode val="edge"/>
          <c:x val="0.87407407407408089"/>
          <c:y val="9.4888945333447272E-3"/>
          <c:w val="0.12194109069699605"/>
          <c:h val="0.15315779076002681"/>
        </c:manualLayout>
      </c:layout>
      <c:overlay val="0"/>
      <c:txPr>
        <a:bodyPr/>
        <a:lstStyle/>
        <a:p>
          <a:pPr>
            <a:defRPr sz="750">
              <a:solidFill>
                <a:sysClr val="windowText" lastClr="000000"/>
              </a:solidFill>
              <a:latin typeface="Arial Narrow" panose="020B0606020202030204" pitchFamily="34" charset="0"/>
              <a:cs typeface="Tahoma" pitchFamily="34" charset="0"/>
            </a:defRPr>
          </a:pPr>
          <a:endParaRPr lang="fr-FR"/>
        </a:p>
      </c:txPr>
    </c:legend>
    <c:plotVisOnly val="1"/>
    <c:dispBlanksAs val="gap"/>
    <c:showDLblsOverMax val="0"/>
  </c:chart>
  <c:spPr>
    <a:solidFill>
      <a:schemeClr val="bg1"/>
    </a:solidFill>
    <a:ln>
      <a:noFill/>
    </a:ln>
  </c:spPr>
  <c:txPr>
    <a:bodyPr/>
    <a:lstStyle/>
    <a:p>
      <a:pPr>
        <a:defRPr>
          <a:solidFill>
            <a:schemeClr val="bg1"/>
          </a:solidFill>
        </a:defRPr>
      </a:pPr>
      <a:endParaRPr lang="fr-FR"/>
    </a:p>
  </c:txPr>
  <c:printSettings>
    <c:headerFooter/>
    <c:pageMargins b="0.27559055118110226" l="0.23622047244094491" r="0.19685039370078738" t="0.15748031496063075" header="0.30000000000000032" footer="0.30000000000000032"/>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Ménages!$K$6</c:f>
          <c:strCache>
            <c:ptCount val="1"/>
            <c:pt idx="0">
              <c:v>Taille moyenne des ménages</c:v>
            </c:pt>
          </c:strCache>
        </c:strRef>
      </c:tx>
      <c:layout>
        <c:manualLayout>
          <c:xMode val="edge"/>
          <c:yMode val="edge"/>
          <c:x val="1.696093648945808E-3"/>
          <c:y val="0"/>
        </c:manualLayout>
      </c:layout>
      <c:overlay val="0"/>
      <c:spPr>
        <a:noFill/>
        <a:ln>
          <a:noFill/>
        </a:ln>
        <a:effectLst/>
      </c:spPr>
      <c:txPr>
        <a:bodyPr rot="0" spcFirstLastPara="1" vertOverflow="ellipsis" vert="horz" wrap="square" anchor="ctr" anchorCtr="1"/>
        <a:lstStyle/>
        <a:p>
          <a:pPr algn="l">
            <a:defRPr sz="850" b="1" i="0" u="none" strike="noStrike" kern="1200" spc="0" baseline="0">
              <a:solidFill>
                <a:sysClr val="windowText" lastClr="000000"/>
              </a:solidFill>
              <a:latin typeface="Arial Narrow" panose="020B0606020202030204" pitchFamily="34" charset="0"/>
              <a:ea typeface="+mn-ea"/>
              <a:cs typeface="+mn-cs"/>
            </a:defRPr>
          </a:pPr>
          <a:endParaRPr lang="fr-FR"/>
        </a:p>
      </c:txPr>
    </c:title>
    <c:autoTitleDeleted val="0"/>
    <c:plotArea>
      <c:layout>
        <c:manualLayout>
          <c:layoutTarget val="inner"/>
          <c:xMode val="edge"/>
          <c:yMode val="edge"/>
          <c:x val="0.13034503945155865"/>
          <c:y val="0.21778515625"/>
          <c:w val="0.85807665102879593"/>
          <c:h val="0.47609884527757002"/>
        </c:manualLayout>
      </c:layout>
      <c:barChart>
        <c:barDir val="col"/>
        <c:grouping val="clustered"/>
        <c:varyColors val="0"/>
        <c:ser>
          <c:idx val="0"/>
          <c:order val="0"/>
          <c:tx>
            <c:strRef>
              <c:f>Ménages!$B$19</c:f>
              <c:strCache>
                <c:ptCount val="1"/>
                <c:pt idx="0">
                  <c:v>2009</c:v>
                </c:pt>
              </c:strCache>
            </c:strRef>
          </c:tx>
          <c:spPr>
            <a:solidFill>
              <a:srgbClr val="C0A8B6"/>
            </a:solidFill>
            <a:ln>
              <a:noFill/>
            </a:ln>
            <a:effectLst>
              <a:outerShdw blurRad="50800" dist="38100" dir="2700000" algn="tl" rotWithShape="0">
                <a:prstClr val="black">
                  <a:alpha val="40000"/>
                </a:prstClr>
              </a:outerShdw>
            </a:effectLst>
          </c:spPr>
          <c:invertIfNegative val="0"/>
          <c:dLbls>
            <c:spPr>
              <a:noFill/>
              <a:ln>
                <a:noFill/>
              </a:ln>
              <a:effectLst/>
            </c:spPr>
            <c:txPr>
              <a:bodyPr rot="-5400000" spcFirstLastPara="1" vertOverflow="ellipsis" wrap="square" lIns="38100" tIns="19050" rIns="38100" bIns="19050" anchor="ctr" anchorCtr="1">
                <a:spAutoFit/>
              </a:bodyPr>
              <a:lstStyle/>
              <a:p>
                <a:pPr>
                  <a:defRPr sz="750" b="0" i="0" u="none" strike="noStrike" kern="1200" baseline="0">
                    <a:solidFill>
                      <a:schemeClr val="tx1">
                        <a:lumMod val="75000"/>
                        <a:lumOff val="25000"/>
                      </a:schemeClr>
                    </a:solidFill>
                    <a:latin typeface="Arial Narrow" panose="020B0606020202030204" pitchFamily="34" charset="0"/>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Ménages!$A$20:$A$22</c:f>
              <c:strCache>
                <c:ptCount val="3"/>
                <c:pt idx="0">
                  <c:v>Paul Bert</c:v>
                </c:pt>
                <c:pt idx="1">
                  <c:v>Tours nord</c:v>
                </c:pt>
                <c:pt idx="2">
                  <c:v>Tours</c:v>
                </c:pt>
              </c:strCache>
            </c:strRef>
          </c:cat>
          <c:val>
            <c:numRef>
              <c:f>Ménages!$B$20:$B$22</c:f>
              <c:numCache>
                <c:formatCode>#\ ##0.00\ _€</c:formatCode>
                <c:ptCount val="3"/>
                <c:pt idx="0">
                  <c:v>1.6240220966068979</c:v>
                </c:pt>
                <c:pt idx="1">
                  <c:v>1.9652123518507625</c:v>
                </c:pt>
                <c:pt idx="2">
                  <c:v>1.7944938207903742</c:v>
                </c:pt>
              </c:numCache>
            </c:numRef>
          </c:val>
          <c:extLst>
            <c:ext xmlns:c16="http://schemas.microsoft.com/office/drawing/2014/chart" uri="{C3380CC4-5D6E-409C-BE32-E72D297353CC}">
              <c16:uniqueId val="{00000000-45D8-4D19-A11F-3B4CFBE1D8C4}"/>
            </c:ext>
          </c:extLst>
        </c:ser>
        <c:ser>
          <c:idx val="1"/>
          <c:order val="1"/>
          <c:tx>
            <c:strRef>
              <c:f>Ménages!$C$19</c:f>
              <c:strCache>
                <c:ptCount val="1"/>
                <c:pt idx="0">
                  <c:v>2014</c:v>
                </c:pt>
              </c:strCache>
            </c:strRef>
          </c:tx>
          <c:spPr>
            <a:solidFill>
              <a:srgbClr val="647586"/>
            </a:solidFill>
            <a:ln>
              <a:noFill/>
            </a:ln>
            <a:effectLst>
              <a:outerShdw blurRad="50800" dist="38100" dir="2700000" algn="tl" rotWithShape="0">
                <a:prstClr val="black">
                  <a:alpha val="40000"/>
                </a:prstClr>
              </a:outerShdw>
            </a:effectLst>
          </c:spPr>
          <c:invertIfNegative val="0"/>
          <c:dLbls>
            <c:spPr>
              <a:noFill/>
              <a:ln>
                <a:noFill/>
              </a:ln>
              <a:effectLst/>
            </c:spPr>
            <c:txPr>
              <a:bodyPr rot="-5400000" spcFirstLastPara="1" vertOverflow="ellipsis" wrap="square" lIns="38100" tIns="19050" rIns="38100" bIns="19050" anchor="ctr" anchorCtr="1">
                <a:spAutoFit/>
              </a:bodyPr>
              <a:lstStyle/>
              <a:p>
                <a:pPr>
                  <a:defRPr sz="750" b="0" i="0" u="none" strike="noStrike" kern="1200" baseline="0">
                    <a:solidFill>
                      <a:schemeClr val="tx1"/>
                    </a:solidFill>
                    <a:latin typeface="Arial Narrow" panose="020B0606020202030204" pitchFamily="34" charset="0"/>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Ménages!$A$20:$A$22</c:f>
              <c:strCache>
                <c:ptCount val="3"/>
                <c:pt idx="0">
                  <c:v>Paul Bert</c:v>
                </c:pt>
                <c:pt idx="1">
                  <c:v>Tours nord</c:v>
                </c:pt>
                <c:pt idx="2">
                  <c:v>Tours</c:v>
                </c:pt>
              </c:strCache>
            </c:strRef>
          </c:cat>
          <c:val>
            <c:numRef>
              <c:f>Ménages!$C$20:$C$22</c:f>
              <c:numCache>
                <c:formatCode>#\ ##0.00\ _€</c:formatCode>
                <c:ptCount val="3"/>
                <c:pt idx="0">
                  <c:v>1.747266333807846</c:v>
                </c:pt>
                <c:pt idx="1">
                  <c:v>1.9347135580183585</c:v>
                </c:pt>
                <c:pt idx="2">
                  <c:v>1.7922312115680759</c:v>
                </c:pt>
              </c:numCache>
            </c:numRef>
          </c:val>
          <c:extLst>
            <c:ext xmlns:c16="http://schemas.microsoft.com/office/drawing/2014/chart" uri="{C3380CC4-5D6E-409C-BE32-E72D297353CC}">
              <c16:uniqueId val="{00000001-45D8-4D19-A11F-3B4CFBE1D8C4}"/>
            </c:ext>
          </c:extLst>
        </c:ser>
        <c:ser>
          <c:idx val="2"/>
          <c:order val="2"/>
          <c:tx>
            <c:strRef>
              <c:f>Ménages!$D$19</c:f>
              <c:strCache>
                <c:ptCount val="1"/>
                <c:pt idx="0">
                  <c:v>2020</c:v>
                </c:pt>
              </c:strCache>
            </c:strRef>
          </c:tx>
          <c:spPr>
            <a:solidFill>
              <a:srgbClr val="BEBF26"/>
            </a:solidFill>
            <a:ln>
              <a:noFill/>
            </a:ln>
            <a:effectLst>
              <a:outerShdw blurRad="50800" dist="38100" dir="2700000" algn="tl" rotWithShape="0">
                <a:prstClr val="black">
                  <a:alpha val="40000"/>
                </a:prstClr>
              </a:outerShdw>
            </a:effectLst>
          </c:spPr>
          <c:invertIfNegative val="0"/>
          <c:dLbls>
            <c:spPr>
              <a:noFill/>
              <a:ln>
                <a:noFill/>
              </a:ln>
              <a:effectLst/>
            </c:spPr>
            <c:txPr>
              <a:bodyPr rot="-5400000" spcFirstLastPara="1" vertOverflow="ellipsis" wrap="square" lIns="38100" tIns="19050" rIns="38100" bIns="19050" anchor="ctr" anchorCtr="1">
                <a:spAutoFit/>
              </a:bodyPr>
              <a:lstStyle/>
              <a:p>
                <a:pPr>
                  <a:defRPr sz="750" b="0" i="0" u="none" strike="noStrike" kern="1200" baseline="0">
                    <a:solidFill>
                      <a:schemeClr val="tx1">
                        <a:lumMod val="75000"/>
                        <a:lumOff val="25000"/>
                      </a:schemeClr>
                    </a:solidFill>
                    <a:latin typeface="Arial Narrow" panose="020B0606020202030204" pitchFamily="34" charset="0"/>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Ménages!$A$20:$A$22</c:f>
              <c:strCache>
                <c:ptCount val="3"/>
                <c:pt idx="0">
                  <c:v>Paul Bert</c:v>
                </c:pt>
                <c:pt idx="1">
                  <c:v>Tours nord</c:v>
                </c:pt>
                <c:pt idx="2">
                  <c:v>Tours</c:v>
                </c:pt>
              </c:strCache>
            </c:strRef>
          </c:cat>
          <c:val>
            <c:numRef>
              <c:f>Ménages!$D$20:$D$22</c:f>
              <c:numCache>
                <c:formatCode>#\ ##0.00\ _€</c:formatCode>
                <c:ptCount val="3"/>
                <c:pt idx="0">
                  <c:v>1.696378668523248</c:v>
                </c:pt>
                <c:pt idx="1">
                  <c:v>1.8576548473565211</c:v>
                </c:pt>
                <c:pt idx="2">
                  <c:v>1.7389280996396173</c:v>
                </c:pt>
              </c:numCache>
            </c:numRef>
          </c:val>
          <c:extLst>
            <c:ext xmlns:c16="http://schemas.microsoft.com/office/drawing/2014/chart" uri="{C3380CC4-5D6E-409C-BE32-E72D297353CC}">
              <c16:uniqueId val="{00000002-45D8-4D19-A11F-3B4CFBE1D8C4}"/>
            </c:ext>
          </c:extLst>
        </c:ser>
        <c:dLbls>
          <c:showLegendKey val="0"/>
          <c:showVal val="0"/>
          <c:showCatName val="0"/>
          <c:showSerName val="0"/>
          <c:showPercent val="0"/>
          <c:showBubbleSize val="0"/>
        </c:dLbls>
        <c:gapWidth val="150"/>
        <c:axId val="120382976"/>
        <c:axId val="120384512"/>
      </c:barChart>
      <c:catAx>
        <c:axId val="120382976"/>
        <c:scaling>
          <c:orientation val="minMax"/>
        </c:scaling>
        <c:delete val="0"/>
        <c:axPos val="b"/>
        <c:numFmt formatCode="General" sourceLinked="1"/>
        <c:majorTickMark val="out"/>
        <c:minorTickMark val="none"/>
        <c:tickLblPos val="nextTo"/>
        <c:spPr>
          <a:noFill/>
          <a:ln w="9525" cap="flat" cmpd="sng" algn="ctr">
            <a:solidFill>
              <a:srgbClr val="868686"/>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fr-FR"/>
          </a:p>
        </c:txPr>
        <c:crossAx val="120384512"/>
        <c:crosses val="autoZero"/>
        <c:auto val="1"/>
        <c:lblAlgn val="ctr"/>
        <c:lblOffset val="100"/>
        <c:noMultiLvlLbl val="0"/>
      </c:catAx>
      <c:valAx>
        <c:axId val="120384512"/>
        <c:scaling>
          <c:orientation val="minMax"/>
        </c:scaling>
        <c:delete val="0"/>
        <c:axPos val="l"/>
        <c:numFmt formatCode="#\ ##0.00\ _€"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fr-FR"/>
          </a:p>
        </c:txPr>
        <c:crossAx val="120382976"/>
        <c:crosses val="autoZero"/>
        <c:crossBetween val="between"/>
      </c:valAx>
      <c:spPr>
        <a:noFill/>
        <a:ln>
          <a:noFill/>
        </a:ln>
        <a:effectLst/>
      </c:spPr>
    </c:plotArea>
    <c:legend>
      <c:legendPos val="b"/>
      <c:layout>
        <c:manualLayout>
          <c:xMode val="edge"/>
          <c:yMode val="edge"/>
          <c:x val="0.56461735561093318"/>
          <c:y val="2.4691840277777364E-3"/>
          <c:w val="0.43070746862858839"/>
          <c:h val="0.1376349826388888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Ménages!$K$34</c:f>
          <c:strCache>
            <c:ptCount val="1"/>
            <c:pt idx="0">
              <c:v>Structure familiale des ménages en 2009 et 2020                       Paul Bert</c:v>
            </c:pt>
          </c:strCache>
        </c:strRef>
      </c:tx>
      <c:layout>
        <c:manualLayout>
          <c:xMode val="edge"/>
          <c:yMode val="edge"/>
          <c:x val="6.1903416781422501E-3"/>
          <c:y val="0"/>
        </c:manualLayout>
      </c:layout>
      <c:overlay val="0"/>
      <c:txPr>
        <a:bodyPr/>
        <a:lstStyle/>
        <a:p>
          <a:pPr algn="l">
            <a:defRPr sz="850">
              <a:solidFill>
                <a:sysClr val="windowText" lastClr="000000"/>
              </a:solidFill>
              <a:latin typeface="Arial Narrow" panose="020B0606020202030204" pitchFamily="34" charset="0"/>
            </a:defRPr>
          </a:pPr>
          <a:endParaRPr lang="fr-FR"/>
        </a:p>
      </c:txPr>
    </c:title>
    <c:autoTitleDeleted val="0"/>
    <c:plotArea>
      <c:layout>
        <c:manualLayout>
          <c:layoutTarget val="inner"/>
          <c:xMode val="edge"/>
          <c:yMode val="edge"/>
          <c:x val="0.39647724403577067"/>
          <c:y val="9.4712058051567086E-2"/>
          <c:w val="0.51747554301061338"/>
          <c:h val="0.82106080333084996"/>
        </c:manualLayout>
      </c:layout>
      <c:barChart>
        <c:barDir val="bar"/>
        <c:grouping val="clustered"/>
        <c:varyColors val="0"/>
        <c:ser>
          <c:idx val="1"/>
          <c:order val="0"/>
          <c:tx>
            <c:strRef>
              <c:f>'Base de données'!$EE$101</c:f>
              <c:strCache>
                <c:ptCount val="1"/>
                <c:pt idx="0">
                  <c:v>2020</c:v>
                </c:pt>
              </c:strCache>
            </c:strRef>
          </c:tx>
          <c:spPr>
            <a:solidFill>
              <a:srgbClr val="BEBF26"/>
            </a:solidFill>
            <a:effectLst>
              <a:outerShdw blurRad="50800" dist="38100" dir="2700000" algn="t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800">
                    <a:solidFill>
                      <a:sysClr val="windowText" lastClr="000000"/>
                    </a:solidFill>
                    <a:latin typeface="Arial Narrow" panose="020B060602020203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'Base de données'!$EF$99:$EJ$99</c:f>
              <c:strCache>
                <c:ptCount val="5"/>
                <c:pt idx="0">
                  <c:v>Ménage d'une personne</c:v>
                </c:pt>
                <c:pt idx="1">
                  <c:v>Autre ménage sans famille</c:v>
                </c:pt>
                <c:pt idx="2">
                  <c:v>Couple sans enfant</c:v>
                </c:pt>
                <c:pt idx="3">
                  <c:v>Couple avec enfant(s)</c:v>
                </c:pt>
                <c:pt idx="4">
                  <c:v>Famille monoparentale</c:v>
                </c:pt>
              </c:strCache>
            </c:strRef>
          </c:cat>
          <c:val>
            <c:numRef>
              <c:f>'Base de données'!$EF$101:$EJ$101</c:f>
              <c:numCache>
                <c:formatCode>0.0%</c:formatCode>
                <c:ptCount val="5"/>
                <c:pt idx="0">
                  <c:v>0.59627732857440696</c:v>
                </c:pt>
                <c:pt idx="1">
                  <c:v>2.8420911920597924E-2</c:v>
                </c:pt>
                <c:pt idx="2">
                  <c:v>0.18864445057598106</c:v>
                </c:pt>
                <c:pt idx="3">
                  <c:v>0.12739506060427586</c:v>
                </c:pt>
                <c:pt idx="4">
                  <c:v>5.9262248324738184E-2</c:v>
                </c:pt>
              </c:numCache>
            </c:numRef>
          </c:val>
          <c:extLst>
            <c:ext xmlns:c16="http://schemas.microsoft.com/office/drawing/2014/chart" uri="{C3380CC4-5D6E-409C-BE32-E72D297353CC}">
              <c16:uniqueId val="{00000001-075C-4BCE-A3D0-506EB8468ACF}"/>
            </c:ext>
          </c:extLst>
        </c:ser>
        <c:ser>
          <c:idx val="0"/>
          <c:order val="1"/>
          <c:tx>
            <c:strRef>
              <c:f>'Base de données'!$EE$100</c:f>
              <c:strCache>
                <c:ptCount val="1"/>
                <c:pt idx="0">
                  <c:v>2009</c:v>
                </c:pt>
              </c:strCache>
            </c:strRef>
          </c:tx>
          <c:spPr>
            <a:solidFill>
              <a:srgbClr val="856176"/>
            </a:solidFill>
            <a:effectLst>
              <a:outerShdw blurRad="50800" dist="38100" dir="2700000" algn="t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800">
                    <a:solidFill>
                      <a:sysClr val="windowText" lastClr="000000"/>
                    </a:solidFill>
                    <a:latin typeface="Arial Narrow" panose="020B060602020203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'Base de données'!$EF$99:$EJ$99</c:f>
              <c:strCache>
                <c:ptCount val="5"/>
                <c:pt idx="0">
                  <c:v>Ménage d'une personne</c:v>
                </c:pt>
                <c:pt idx="1">
                  <c:v>Autre ménage sans famille</c:v>
                </c:pt>
                <c:pt idx="2">
                  <c:v>Couple sans enfant</c:v>
                </c:pt>
                <c:pt idx="3">
                  <c:v>Couple avec enfant(s)</c:v>
                </c:pt>
                <c:pt idx="4">
                  <c:v>Famille monoparentale</c:v>
                </c:pt>
              </c:strCache>
            </c:strRef>
          </c:cat>
          <c:val>
            <c:numRef>
              <c:f>'Base de données'!$EF$100:$EJ$100</c:f>
              <c:numCache>
                <c:formatCode>0.0%</c:formatCode>
                <c:ptCount val="5"/>
                <c:pt idx="0">
                  <c:v>0.59806671751550999</c:v>
                </c:pt>
                <c:pt idx="1">
                  <c:v>2.675028946943829E-2</c:v>
                </c:pt>
                <c:pt idx="2">
                  <c:v>0.22978585828569853</c:v>
                </c:pt>
                <c:pt idx="3">
                  <c:v>0.10866440290332414</c:v>
                </c:pt>
                <c:pt idx="4">
                  <c:v>3.6732731826029145E-2</c:v>
                </c:pt>
              </c:numCache>
            </c:numRef>
          </c:val>
          <c:extLst>
            <c:ext xmlns:c16="http://schemas.microsoft.com/office/drawing/2014/chart" uri="{C3380CC4-5D6E-409C-BE32-E72D297353CC}">
              <c16:uniqueId val="{00000000-075C-4BCE-A3D0-506EB8468ACF}"/>
            </c:ext>
          </c:extLst>
        </c:ser>
        <c:dLbls>
          <c:showLegendKey val="0"/>
          <c:showVal val="0"/>
          <c:showCatName val="0"/>
          <c:showSerName val="0"/>
          <c:showPercent val="0"/>
          <c:showBubbleSize val="0"/>
        </c:dLbls>
        <c:gapWidth val="50"/>
        <c:axId val="120445184"/>
        <c:axId val="120717312"/>
      </c:barChart>
      <c:catAx>
        <c:axId val="120445184"/>
        <c:scaling>
          <c:orientation val="minMax"/>
        </c:scaling>
        <c:delete val="0"/>
        <c:axPos val="l"/>
        <c:numFmt formatCode="General" sourceLinked="1"/>
        <c:majorTickMark val="out"/>
        <c:minorTickMark val="none"/>
        <c:tickLblPos val="nextTo"/>
        <c:txPr>
          <a:bodyPr rot="0" vert="horz"/>
          <a:lstStyle/>
          <a:p>
            <a:pPr>
              <a:defRPr sz="800">
                <a:solidFill>
                  <a:sysClr val="windowText" lastClr="000000"/>
                </a:solidFill>
                <a:latin typeface="Arial Narrow" panose="020B0606020202030204" pitchFamily="34" charset="0"/>
                <a:cs typeface="Tahoma" pitchFamily="34" charset="0"/>
              </a:defRPr>
            </a:pPr>
            <a:endParaRPr lang="fr-FR"/>
          </a:p>
        </c:txPr>
        <c:crossAx val="120717312"/>
        <c:crosses val="autoZero"/>
        <c:auto val="1"/>
        <c:lblAlgn val="ctr"/>
        <c:lblOffset val="100"/>
        <c:noMultiLvlLbl val="0"/>
      </c:catAx>
      <c:valAx>
        <c:axId val="120717312"/>
        <c:scaling>
          <c:orientation val="minMax"/>
        </c:scaling>
        <c:delete val="0"/>
        <c:axPos val="b"/>
        <c:numFmt formatCode="0%" sourceLinked="0"/>
        <c:majorTickMark val="out"/>
        <c:minorTickMark val="none"/>
        <c:tickLblPos val="nextTo"/>
        <c:txPr>
          <a:bodyPr/>
          <a:lstStyle/>
          <a:p>
            <a:pPr>
              <a:defRPr sz="750">
                <a:solidFill>
                  <a:sysClr val="windowText" lastClr="000000"/>
                </a:solidFill>
                <a:latin typeface="Arial Narrow" panose="020B0606020202030204" pitchFamily="34" charset="0"/>
                <a:cs typeface="Tahoma" pitchFamily="34" charset="0"/>
              </a:defRPr>
            </a:pPr>
            <a:endParaRPr lang="fr-FR"/>
          </a:p>
        </c:txPr>
        <c:crossAx val="120445184"/>
        <c:crosses val="autoZero"/>
        <c:crossBetween val="between"/>
      </c:valAx>
      <c:spPr>
        <a:noFill/>
      </c:spPr>
    </c:plotArea>
    <c:legend>
      <c:legendPos val="b"/>
      <c:layout>
        <c:manualLayout>
          <c:xMode val="edge"/>
          <c:yMode val="edge"/>
          <c:x val="0.83017961680964381"/>
          <c:y val="1.403155055445059E-3"/>
          <c:w val="0.16609174551117548"/>
          <c:h val="0.12568982151471297"/>
        </c:manualLayout>
      </c:layout>
      <c:overlay val="0"/>
      <c:spPr>
        <a:noFill/>
      </c:spPr>
      <c:txPr>
        <a:bodyPr/>
        <a:lstStyle/>
        <a:p>
          <a:pPr>
            <a:defRPr sz="800">
              <a:solidFill>
                <a:sysClr val="windowText" lastClr="000000"/>
              </a:solidFill>
              <a:latin typeface="Arial Narrow" panose="020B0606020202030204" pitchFamily="34" charset="0"/>
              <a:cs typeface="Tahoma" pitchFamily="34" charset="0"/>
            </a:defRPr>
          </a:pPr>
          <a:endParaRPr lang="fr-FR"/>
        </a:p>
      </c:txPr>
    </c:legend>
    <c:plotVisOnly val="1"/>
    <c:dispBlanksAs val="gap"/>
    <c:showDLblsOverMax val="0"/>
  </c:chart>
  <c:spPr>
    <a:solidFill>
      <a:schemeClr val="bg1"/>
    </a:solidFill>
    <a:ln>
      <a:noFill/>
    </a:ln>
  </c:spPr>
  <c:txPr>
    <a:bodyPr/>
    <a:lstStyle/>
    <a:p>
      <a:pPr>
        <a:defRPr>
          <a:solidFill>
            <a:schemeClr val="bg1"/>
          </a:solidFill>
        </a:defRPr>
      </a:pPr>
      <a:endParaRPr lang="fr-FR"/>
    </a:p>
  </c:txPr>
  <c:printSettings>
    <c:headerFooter/>
    <c:pageMargins b="0.35433070866141736" l="0.23622047244094491" r="0.19685039370078738" t="0.35433070866141736"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10" dropStyle="combo" dx="16" fmlaLink="C4" fmlaRange="'Aides traitements'!$A$5:$A$26" sel="16" val="12"/>
</file>

<file path=xl/ctrlProps/ctrlProp2.xml><?xml version="1.0" encoding="utf-8"?>
<formControlPr xmlns="http://schemas.microsoft.com/office/spreadsheetml/2009/9/main" objectType="Drop" dropLines="2" dropStyle="combo" dx="16" fmlaLink="G4" fmlaRange="'Aides traitements'!$E$4:$E$5" sel="1" val="0"/>
</file>

<file path=xl/ctrlProps/ctrlProp3.xml><?xml version="1.0" encoding="utf-8"?>
<formControlPr xmlns="http://schemas.microsoft.com/office/spreadsheetml/2009/9/main" objectType="Drop" dropLines="10" dropStyle="combo" dx="16" fmlaLink="A6" fmlaRange="'Aides traitements'!$A$29:$A$85" sel="8" val="5"/>
</file>

<file path=xl/drawings/_rels/drawing1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chart" Target="../charts/chart2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image" Target="../media/image7.png"/><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9.xml"/><Relationship Id="rId3" Type="http://schemas.openxmlformats.org/officeDocument/2006/relationships/chart" Target="../charts/chart14.xml"/><Relationship Id="rId7" Type="http://schemas.openxmlformats.org/officeDocument/2006/relationships/chart" Target="../charts/chart18.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 Id="rId9"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4"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chart" Target="../charts/chart24.xml"/><Relationship Id="rId1" Type="http://schemas.openxmlformats.org/officeDocument/2006/relationships/chart" Target="../charts/chart23.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106680</xdr:colOff>
          <xdr:row>2</xdr:row>
          <xdr:rowOff>106680</xdr:rowOff>
        </xdr:from>
        <xdr:to>
          <xdr:col>3</xdr:col>
          <xdr:colOff>441960</xdr:colOff>
          <xdr:row>4</xdr:row>
          <xdr:rowOff>0</xdr:rowOff>
        </xdr:to>
        <xdr:sp macro="" textlink="">
          <xdr:nvSpPr>
            <xdr:cNvPr id="16385" name="Drop Down 1" hidden="1">
              <a:extLst>
                <a:ext uri="{63B3BB69-23CF-44E3-9099-C40C66FF867C}">
                  <a14:compatExt spid="_x0000_s163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609600</xdr:colOff>
          <xdr:row>2</xdr:row>
          <xdr:rowOff>106680</xdr:rowOff>
        </xdr:from>
        <xdr:to>
          <xdr:col>8</xdr:col>
          <xdr:colOff>289560</xdr:colOff>
          <xdr:row>4</xdr:row>
          <xdr:rowOff>0</xdr:rowOff>
        </xdr:to>
        <xdr:sp macro="" textlink="">
          <xdr:nvSpPr>
            <xdr:cNvPr id="16386" name="Drop Down 2" hidden="1">
              <a:extLst>
                <a:ext uri="{63B3BB69-23CF-44E3-9099-C40C66FF867C}">
                  <a14:compatExt spid="_x0000_s163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7</xdr:col>
      <xdr:colOff>590550</xdr:colOff>
      <xdr:row>2</xdr:row>
      <xdr:rowOff>142875</xdr:rowOff>
    </xdr:from>
    <xdr:to>
      <xdr:col>13</xdr:col>
      <xdr:colOff>179070</xdr:colOff>
      <xdr:row>11</xdr:row>
      <xdr:rowOff>247650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49696</xdr:colOff>
      <xdr:row>0</xdr:row>
      <xdr:rowOff>33130</xdr:rowOff>
    </xdr:from>
    <xdr:to>
      <xdr:col>0</xdr:col>
      <xdr:colOff>426824</xdr:colOff>
      <xdr:row>1</xdr:row>
      <xdr:rowOff>2530</xdr:rowOff>
    </xdr:to>
    <xdr:pic>
      <xdr:nvPicPr>
        <xdr:cNvPr id="3" name="Image 2"/>
        <xdr:cNvPicPr>
          <a:picLocks noChangeAspect="1"/>
        </xdr:cNvPicPr>
      </xdr:nvPicPr>
      <xdr:blipFill rotWithShape="1">
        <a:blip xmlns:r="http://schemas.openxmlformats.org/officeDocument/2006/relationships" r:embed="rId2" cstate="print">
          <a:biLevel thresh="25000"/>
          <a:extLst>
            <a:ext uri="{28A0092B-C50C-407E-A947-70E740481C1C}">
              <a14:useLocalDpi xmlns:a14="http://schemas.microsoft.com/office/drawing/2010/main" val="0"/>
            </a:ext>
          </a:extLst>
        </a:blip>
        <a:srcRect t="21329" b="26169"/>
        <a:stretch/>
      </xdr:blipFill>
      <xdr:spPr>
        <a:xfrm>
          <a:off x="49696" y="33130"/>
          <a:ext cx="377128" cy="198000"/>
        </a:xfrm>
        <a:prstGeom prst="rect">
          <a:avLst/>
        </a:prstGeom>
      </xdr:spPr>
    </xdr:pic>
    <xdr:clientData/>
  </xdr:twoCellAnchor>
  <xdr:twoCellAnchor>
    <xdr:from>
      <xdr:col>3</xdr:col>
      <xdr:colOff>876300</xdr:colOff>
      <xdr:row>21</xdr:row>
      <xdr:rowOff>19054</xdr:rowOff>
    </xdr:from>
    <xdr:to>
      <xdr:col>5</xdr:col>
      <xdr:colOff>0</xdr:colOff>
      <xdr:row>22</xdr:row>
      <xdr:rowOff>99060</xdr:rowOff>
    </xdr:to>
    <xdr:cxnSp macro="">
      <xdr:nvCxnSpPr>
        <xdr:cNvPr id="5" name="Connecteur droit 4"/>
        <xdr:cNvCxnSpPr/>
      </xdr:nvCxnSpPr>
      <xdr:spPr>
        <a:xfrm flipV="1">
          <a:off x="4549140" y="4537714"/>
          <a:ext cx="800100" cy="415286"/>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7620</xdr:colOff>
      <xdr:row>22</xdr:row>
      <xdr:rowOff>411480</xdr:rowOff>
    </xdr:from>
    <xdr:to>
      <xdr:col>5</xdr:col>
      <xdr:colOff>0</xdr:colOff>
      <xdr:row>27</xdr:row>
      <xdr:rowOff>0</xdr:rowOff>
    </xdr:to>
    <xdr:cxnSp macro="">
      <xdr:nvCxnSpPr>
        <xdr:cNvPr id="7" name="Connecteur droit 6"/>
        <xdr:cNvCxnSpPr/>
      </xdr:nvCxnSpPr>
      <xdr:spPr>
        <a:xfrm>
          <a:off x="4564380" y="5265420"/>
          <a:ext cx="784860" cy="93726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29</xdr:row>
      <xdr:rowOff>9525</xdr:rowOff>
    </xdr:from>
    <xdr:to>
      <xdr:col>5</xdr:col>
      <xdr:colOff>0</xdr:colOff>
      <xdr:row>30</xdr:row>
      <xdr:rowOff>19048</xdr:rowOff>
    </xdr:to>
    <xdr:cxnSp macro="">
      <xdr:nvCxnSpPr>
        <xdr:cNvPr id="12" name="Connecteur droit 11"/>
        <xdr:cNvCxnSpPr/>
      </xdr:nvCxnSpPr>
      <xdr:spPr>
        <a:xfrm flipV="1">
          <a:off x="4429125" y="6657975"/>
          <a:ext cx="762000" cy="352423"/>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37</xdr:row>
      <xdr:rowOff>68580</xdr:rowOff>
    </xdr:from>
    <xdr:to>
      <xdr:col>4</xdr:col>
      <xdr:colOff>784860</xdr:colOff>
      <xdr:row>38</xdr:row>
      <xdr:rowOff>30480</xdr:rowOff>
    </xdr:to>
    <xdr:cxnSp macro="">
      <xdr:nvCxnSpPr>
        <xdr:cNvPr id="13" name="Connecteur droit 12"/>
        <xdr:cNvCxnSpPr/>
      </xdr:nvCxnSpPr>
      <xdr:spPr>
        <a:xfrm flipV="1">
          <a:off x="4556760" y="8976360"/>
          <a:ext cx="784860" cy="29718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853440</xdr:colOff>
      <xdr:row>30</xdr:row>
      <xdr:rowOff>480060</xdr:rowOff>
    </xdr:from>
    <xdr:to>
      <xdr:col>5</xdr:col>
      <xdr:colOff>9525</xdr:colOff>
      <xdr:row>35</xdr:row>
      <xdr:rowOff>9525</xdr:rowOff>
    </xdr:to>
    <xdr:cxnSp macro="">
      <xdr:nvCxnSpPr>
        <xdr:cNvPr id="14" name="Connecteur droit 13"/>
        <xdr:cNvCxnSpPr/>
      </xdr:nvCxnSpPr>
      <xdr:spPr>
        <a:xfrm>
          <a:off x="4526280" y="7528560"/>
          <a:ext cx="832485" cy="87820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38</xdr:row>
      <xdr:rowOff>403860</xdr:rowOff>
    </xdr:from>
    <xdr:to>
      <xdr:col>5</xdr:col>
      <xdr:colOff>0</xdr:colOff>
      <xdr:row>43</xdr:row>
      <xdr:rowOff>9525</xdr:rowOff>
    </xdr:to>
    <xdr:cxnSp macro="">
      <xdr:nvCxnSpPr>
        <xdr:cNvPr id="16" name="Connecteur droit 15"/>
        <xdr:cNvCxnSpPr/>
      </xdr:nvCxnSpPr>
      <xdr:spPr>
        <a:xfrm>
          <a:off x="4556760" y="9646920"/>
          <a:ext cx="792480" cy="95440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10</xdr:col>
      <xdr:colOff>98180</xdr:colOff>
      <xdr:row>60</xdr:row>
      <xdr:rowOff>0</xdr:rowOff>
    </xdr:to>
    <xdr:pic>
      <xdr:nvPicPr>
        <xdr:cNvPr id="3" name="Imag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230500" cy="1005840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33795</xdr:colOff>
      <xdr:row>12</xdr:row>
      <xdr:rowOff>50742</xdr:rowOff>
    </xdr:from>
    <xdr:to>
      <xdr:col>14</xdr:col>
      <xdr:colOff>312420</xdr:colOff>
      <xdr:row>27</xdr:row>
      <xdr:rowOff>60960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66756</xdr:colOff>
      <xdr:row>2</xdr:row>
      <xdr:rowOff>69049</xdr:rowOff>
    </xdr:from>
    <xdr:to>
      <xdr:col>14</xdr:col>
      <xdr:colOff>330200</xdr:colOff>
      <xdr:row>11</xdr:row>
      <xdr:rowOff>81281</xdr:rowOff>
    </xdr:to>
    <xdr:graphicFrame macro="">
      <xdr:nvGraphicFramePr>
        <xdr:cNvPr id="11" name="Graphique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190500</xdr:colOff>
      <xdr:row>56</xdr:row>
      <xdr:rowOff>13387</xdr:rowOff>
    </xdr:from>
    <xdr:to>
      <xdr:col>14</xdr:col>
      <xdr:colOff>335280</xdr:colOff>
      <xdr:row>71</xdr:row>
      <xdr:rowOff>213360</xdr:rowOff>
    </xdr:to>
    <xdr:graphicFrame macro="">
      <xdr:nvGraphicFramePr>
        <xdr:cNvPr id="14" name="Graphique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91108</xdr:colOff>
      <xdr:row>0</xdr:row>
      <xdr:rowOff>24847</xdr:rowOff>
    </xdr:from>
    <xdr:to>
      <xdr:col>0</xdr:col>
      <xdr:colOff>332864</xdr:colOff>
      <xdr:row>0</xdr:row>
      <xdr:rowOff>233647</xdr:rowOff>
    </xdr:to>
    <xdr:pic>
      <xdr:nvPicPr>
        <xdr:cNvPr id="6" name="Image 5"/>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3051" b="3635"/>
        <a:stretch/>
      </xdr:blipFill>
      <xdr:spPr>
        <a:xfrm>
          <a:off x="91108" y="24847"/>
          <a:ext cx="241756" cy="208800"/>
        </a:xfrm>
        <a:prstGeom prst="rect">
          <a:avLst/>
        </a:prstGeom>
      </xdr:spPr>
    </xdr:pic>
    <xdr:clientData/>
  </xdr:twoCellAnchor>
  <xdr:twoCellAnchor>
    <xdr:from>
      <xdr:col>8</xdr:col>
      <xdr:colOff>68580</xdr:colOff>
      <xdr:row>36</xdr:row>
      <xdr:rowOff>107950</xdr:rowOff>
    </xdr:from>
    <xdr:to>
      <xdr:col>14</xdr:col>
      <xdr:colOff>99060</xdr:colOff>
      <xdr:row>52</xdr:row>
      <xdr:rowOff>128270</xdr:rowOff>
    </xdr:to>
    <xdr:graphicFrame macro="">
      <xdr:nvGraphicFramePr>
        <xdr:cNvPr id="8"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149988</xdr:colOff>
      <xdr:row>59</xdr:row>
      <xdr:rowOff>27510</xdr:rowOff>
    </xdr:from>
    <xdr:to>
      <xdr:col>6</xdr:col>
      <xdr:colOff>110067</xdr:colOff>
      <xdr:row>77</xdr:row>
      <xdr:rowOff>66261</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93786</xdr:colOff>
      <xdr:row>58</xdr:row>
      <xdr:rowOff>149430</xdr:rowOff>
    </xdr:from>
    <xdr:to>
      <xdr:col>12</xdr:col>
      <xdr:colOff>147942</xdr:colOff>
      <xdr:row>76</xdr:row>
      <xdr:rowOff>142749</xdr:rowOff>
    </xdr:to>
    <xdr:graphicFrame macro="">
      <xdr:nvGraphicFramePr>
        <xdr:cNvPr id="8" name="Graphique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1234109</xdr:colOff>
      <xdr:row>36</xdr:row>
      <xdr:rowOff>189257</xdr:rowOff>
    </xdr:from>
    <xdr:to>
      <xdr:col>8</xdr:col>
      <xdr:colOff>74543</xdr:colOff>
      <xdr:row>55</xdr:row>
      <xdr:rowOff>0</xdr:rowOff>
    </xdr:to>
    <xdr:sp macro="" textlink="">
      <xdr:nvSpPr>
        <xdr:cNvPr id="19" name="Rectangle 18"/>
        <xdr:cNvSpPr/>
      </xdr:nvSpPr>
      <xdr:spPr>
        <a:xfrm>
          <a:off x="6701459" y="7009157"/>
          <a:ext cx="421584" cy="3182593"/>
        </a:xfrm>
        <a:prstGeom prst="rect">
          <a:avLst/>
        </a:prstGeom>
        <a:solidFill>
          <a:srgbClr val="FAEB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fr-FR" sz="1100"/>
        </a:p>
      </xdr:txBody>
    </xdr:sp>
    <xdr:clientData/>
  </xdr:twoCellAnchor>
  <xdr:twoCellAnchor>
    <xdr:from>
      <xdr:col>7</xdr:col>
      <xdr:colOff>1303509</xdr:colOff>
      <xdr:row>36</xdr:row>
      <xdr:rowOff>185261</xdr:rowOff>
    </xdr:from>
    <xdr:to>
      <xdr:col>12</xdr:col>
      <xdr:colOff>493313</xdr:colOff>
      <xdr:row>43</xdr:row>
      <xdr:rowOff>139952</xdr:rowOff>
    </xdr:to>
    <xdr:graphicFrame macro="">
      <xdr:nvGraphicFramePr>
        <xdr:cNvPr id="9" name="Graphique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5</xdr:col>
      <xdr:colOff>202289</xdr:colOff>
      <xdr:row>59</xdr:row>
      <xdr:rowOff>50242</xdr:rowOff>
    </xdr:from>
    <xdr:to>
      <xdr:col>5</xdr:col>
      <xdr:colOff>566665</xdr:colOff>
      <xdr:row>62</xdr:row>
      <xdr:rowOff>62698</xdr:rowOff>
    </xdr:to>
    <xdr:pic>
      <xdr:nvPicPr>
        <xdr:cNvPr id="2" name="Image 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435622" y="10760575"/>
          <a:ext cx="364376" cy="469656"/>
        </a:xfrm>
        <a:prstGeom prst="rect">
          <a:avLst/>
        </a:prstGeom>
      </xdr:spPr>
    </xdr:pic>
    <xdr:clientData/>
  </xdr:twoCellAnchor>
  <xdr:twoCellAnchor editAs="oneCell">
    <xdr:from>
      <xdr:col>0</xdr:col>
      <xdr:colOff>1317842</xdr:colOff>
      <xdr:row>59</xdr:row>
      <xdr:rowOff>67175</xdr:rowOff>
    </xdr:from>
    <xdr:to>
      <xdr:col>1</xdr:col>
      <xdr:colOff>86864</xdr:colOff>
      <xdr:row>62</xdr:row>
      <xdr:rowOff>79631</xdr:rowOff>
    </xdr:to>
    <xdr:pic>
      <xdr:nvPicPr>
        <xdr:cNvPr id="13" name="Image 12"/>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17842" y="10470132"/>
          <a:ext cx="351000" cy="468000"/>
        </a:xfrm>
        <a:prstGeom prst="rect">
          <a:avLst/>
        </a:prstGeom>
      </xdr:spPr>
    </xdr:pic>
    <xdr:clientData/>
  </xdr:twoCellAnchor>
  <xdr:twoCellAnchor editAs="oneCell">
    <xdr:from>
      <xdr:col>11</xdr:col>
      <xdr:colOff>310734</xdr:colOff>
      <xdr:row>59</xdr:row>
      <xdr:rowOff>52887</xdr:rowOff>
    </xdr:from>
    <xdr:to>
      <xdr:col>12</xdr:col>
      <xdr:colOff>3714</xdr:colOff>
      <xdr:row>62</xdr:row>
      <xdr:rowOff>65343</xdr:rowOff>
    </xdr:to>
    <xdr:pic>
      <xdr:nvPicPr>
        <xdr:cNvPr id="20" name="Image 1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507897" y="10720887"/>
          <a:ext cx="348654" cy="473200"/>
        </a:xfrm>
        <a:prstGeom prst="rect">
          <a:avLst/>
        </a:prstGeom>
      </xdr:spPr>
    </xdr:pic>
    <xdr:clientData/>
  </xdr:twoCellAnchor>
  <xdr:twoCellAnchor editAs="oneCell">
    <xdr:from>
      <xdr:col>7</xdr:col>
      <xdr:colOff>804367</xdr:colOff>
      <xdr:row>59</xdr:row>
      <xdr:rowOff>58315</xdr:rowOff>
    </xdr:from>
    <xdr:to>
      <xdr:col>7</xdr:col>
      <xdr:colOff>1194854</xdr:colOff>
      <xdr:row>62</xdr:row>
      <xdr:rowOff>70771</xdr:rowOff>
    </xdr:to>
    <xdr:pic>
      <xdr:nvPicPr>
        <xdr:cNvPr id="21" name="Image 20"/>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13041" y="10726315"/>
          <a:ext cx="390487" cy="473200"/>
        </a:xfrm>
        <a:prstGeom prst="rect">
          <a:avLst/>
        </a:prstGeom>
      </xdr:spPr>
    </xdr:pic>
    <xdr:clientData/>
  </xdr:twoCellAnchor>
  <xdr:twoCellAnchor editAs="oneCell">
    <xdr:from>
      <xdr:col>0</xdr:col>
      <xdr:colOff>66261</xdr:colOff>
      <xdr:row>0</xdr:row>
      <xdr:rowOff>16565</xdr:rowOff>
    </xdr:from>
    <xdr:to>
      <xdr:col>0</xdr:col>
      <xdr:colOff>325307</xdr:colOff>
      <xdr:row>0</xdr:row>
      <xdr:rowOff>232565</xdr:rowOff>
    </xdr:to>
    <xdr:pic>
      <xdr:nvPicPr>
        <xdr:cNvPr id="6" name="Image 5"/>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3970" b="12647"/>
        <a:stretch/>
      </xdr:blipFill>
      <xdr:spPr>
        <a:xfrm>
          <a:off x="66261" y="16565"/>
          <a:ext cx="259046" cy="216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80080</xdr:colOff>
      <xdr:row>0</xdr:row>
      <xdr:rowOff>16948</xdr:rowOff>
    </xdr:from>
    <xdr:to>
      <xdr:col>0</xdr:col>
      <xdr:colOff>288880</xdr:colOff>
      <xdr:row>0</xdr:row>
      <xdr:rowOff>225748</xdr:rowOff>
    </xdr:to>
    <xdr:pic>
      <xdr:nvPicPr>
        <xdr:cNvPr id="2" name="Image 1"/>
        <xdr:cNvPicPr>
          <a:picLocks noChangeAspect="1"/>
        </xdr:cNvPicPr>
      </xdr:nvPicPr>
      <xdr:blipFill>
        <a:blip xmlns:r="http://schemas.openxmlformats.org/officeDocument/2006/relationships" r:embed="rId1" cstate="print">
          <a:biLevel thresh="25000"/>
          <a:extLst>
            <a:ext uri="{28A0092B-C50C-407E-A947-70E740481C1C}">
              <a14:useLocalDpi xmlns:a14="http://schemas.microsoft.com/office/drawing/2010/main" val="0"/>
            </a:ext>
          </a:extLst>
        </a:blip>
        <a:stretch>
          <a:fillRect/>
        </a:stretch>
      </xdr:blipFill>
      <xdr:spPr>
        <a:xfrm>
          <a:off x="80080" y="16948"/>
          <a:ext cx="208800" cy="2088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4</xdr:row>
          <xdr:rowOff>114300</xdr:rowOff>
        </xdr:from>
        <xdr:to>
          <xdr:col>1</xdr:col>
          <xdr:colOff>297180</xdr:colOff>
          <xdr:row>6</xdr:row>
          <xdr:rowOff>0</xdr:rowOff>
        </xdr:to>
        <xdr:sp macro="" textlink="">
          <xdr:nvSpPr>
            <xdr:cNvPr id="19464" name="Drop Down 8" hidden="1">
              <a:extLst>
                <a:ext uri="{63B3BB69-23CF-44E3-9099-C40C66FF867C}">
                  <a14:compatExt spid="_x0000_s194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127000</xdr:colOff>
      <xdr:row>5</xdr:row>
      <xdr:rowOff>118533</xdr:rowOff>
    </xdr:from>
    <xdr:to>
      <xdr:col>12</xdr:col>
      <xdr:colOff>110067</xdr:colOff>
      <xdr:row>8</xdr:row>
      <xdr:rowOff>584200</xdr:rowOff>
    </xdr:to>
    <xdr:sp macro="" textlink="">
      <xdr:nvSpPr>
        <xdr:cNvPr id="4" name="Zone de texte 59"/>
        <xdr:cNvSpPr txBox="1"/>
      </xdr:nvSpPr>
      <xdr:spPr>
        <a:xfrm>
          <a:off x="6578600" y="1126066"/>
          <a:ext cx="3810000" cy="1007534"/>
        </a:xfrm>
        <a:prstGeom prst="rect">
          <a:avLst/>
        </a:prstGeom>
        <a:solidFill>
          <a:schemeClr val="lt1"/>
        </a:solidFill>
        <a:ln w="6350">
          <a:solidFill>
            <a:prstClr val="black"/>
          </a:solidFill>
        </a:ln>
        <a:effectLst/>
        <a:scene3d>
          <a:camera prst="orthographicFront"/>
          <a:lightRig rig="threePt" dir="t"/>
        </a:scene3d>
        <a:sp3d>
          <a:bevelT/>
        </a:sp3d>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fr-FR" sz="900" b="1" i="1">
              <a:effectLst/>
            </a:rPr>
            <a:t>(*) Revenu disponible</a:t>
          </a:r>
          <a:endParaRPr lang="fr-FR">
            <a:effectLst/>
          </a:endParaRPr>
        </a:p>
        <a:p>
          <a:pPr>
            <a:spcAft>
              <a:spcPts val="0"/>
            </a:spcAft>
            <a:tabLst>
              <a:tab pos="581660" algn="l"/>
              <a:tab pos="1163320" algn="l"/>
              <a:tab pos="1744980" algn="l"/>
              <a:tab pos="2326640" algn="l"/>
              <a:tab pos="2908300" algn="l"/>
              <a:tab pos="3489960" algn="l"/>
              <a:tab pos="4071620" algn="l"/>
              <a:tab pos="4653280" algn="l"/>
              <a:tab pos="5234940" algn="l"/>
              <a:tab pos="5816600" algn="l"/>
              <a:tab pos="6398260" algn="l"/>
              <a:tab pos="6979920" algn="l"/>
              <a:tab pos="7561580" algn="l"/>
              <a:tab pos="8143240" algn="l"/>
              <a:tab pos="8724900" algn="l"/>
              <a:tab pos="9306560" algn="l"/>
            </a:tabLst>
          </a:pPr>
          <a:r>
            <a:rPr lang="fr-FR" sz="900" i="1">
              <a:effectLst/>
              <a:ea typeface="Times New Roman"/>
              <a:cs typeface="Courier New"/>
            </a:rPr>
            <a:t>Le revenu disponible d'un ménage comprend les revenus d'activité (nets des cotisations sociales), les revenus du patrimoine, les transferts en provenance d'autres ménages et les prestations sociales (y compris les pensions de retraite et les indemnités de chômage), nets</a:t>
          </a:r>
          <a:r>
            <a:rPr lang="fr-FR" sz="900" i="1" baseline="0">
              <a:effectLst/>
              <a:latin typeface="Courier New"/>
              <a:ea typeface="Times New Roman"/>
              <a:cs typeface="+mn-cs"/>
            </a:rPr>
            <a:t> </a:t>
          </a:r>
          <a:r>
            <a:rPr lang="fr-FR" sz="900" i="1">
              <a:effectLst/>
              <a:ea typeface="Times New Roman"/>
              <a:cs typeface="Courier New"/>
            </a:rPr>
            <a:t>des impôts directs. </a:t>
          </a:r>
          <a:endParaRPr lang="fr-FR">
            <a:effectLst/>
          </a:endParaRPr>
        </a:p>
        <a:p>
          <a:pPr>
            <a:lnSpc>
              <a:spcPct val="115000"/>
            </a:lnSpc>
            <a:spcAft>
              <a:spcPts val="1000"/>
            </a:spcAft>
          </a:pPr>
          <a:r>
            <a:rPr lang="fr-FR" sz="900" i="1">
              <a:effectLst/>
              <a:ea typeface="Calibri"/>
              <a:cs typeface="Times New Roman"/>
            </a:rPr>
            <a:t> </a:t>
          </a:r>
          <a:endParaRPr lang="fr-FR" sz="1100">
            <a:effectLst/>
            <a:ea typeface="Calibri"/>
            <a:cs typeface="Times New Roman"/>
          </a:endParaRPr>
        </a:p>
      </xdr:txBody>
    </xdr:sp>
    <xdr:clientData/>
  </xdr:twoCellAnchor>
  <xdr:twoCellAnchor>
    <xdr:from>
      <xdr:col>5</xdr:col>
      <xdr:colOff>499534</xdr:colOff>
      <xdr:row>12</xdr:row>
      <xdr:rowOff>72813</xdr:rowOff>
    </xdr:from>
    <xdr:to>
      <xdr:col>9</xdr:col>
      <xdr:colOff>668867</xdr:colOff>
      <xdr:row>17</xdr:row>
      <xdr:rowOff>166793</xdr:rowOff>
    </xdr:to>
    <xdr:sp macro="" textlink="">
      <xdr:nvSpPr>
        <xdr:cNvPr id="5" name="Bulle ronde 4"/>
        <xdr:cNvSpPr/>
      </xdr:nvSpPr>
      <xdr:spPr>
        <a:xfrm>
          <a:off x="5596467" y="2756746"/>
          <a:ext cx="2963333" cy="982980"/>
        </a:xfrm>
        <a:prstGeom prst="wedgeEllipseCallout">
          <a:avLst>
            <a:gd name="adj1" fmla="val -25472"/>
            <a:gd name="adj2" fmla="val -64066"/>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0" scaled="1"/>
          <a:tileRect/>
        </a:gradFill>
        <a:ln w="3175">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fr-FR" sz="900" b="1" i="1">
              <a:solidFill>
                <a:srgbClr val="000000"/>
              </a:solidFill>
              <a:effectLst/>
              <a:ea typeface="Calibri"/>
              <a:cs typeface="Times New Roman"/>
            </a:rPr>
            <a:t>Rapport interdécile : 10 % des ménages les plus riches ont un revenu disponible au moins X</a:t>
          </a:r>
          <a:r>
            <a:rPr lang="fr-FR" sz="900" b="1" i="1" baseline="0">
              <a:solidFill>
                <a:srgbClr val="000000"/>
              </a:solidFill>
              <a:effectLst/>
              <a:ea typeface="Calibri"/>
              <a:cs typeface="Times New Roman"/>
            </a:rPr>
            <a:t> </a:t>
          </a:r>
          <a:r>
            <a:rPr lang="fr-FR" sz="900" b="1" i="1">
              <a:solidFill>
                <a:srgbClr val="000000"/>
              </a:solidFill>
              <a:effectLst/>
              <a:ea typeface="Calibri"/>
              <a:cs typeface="Times New Roman"/>
            </a:rPr>
            <a:t>fois supérieur que les 10 % des ménages les moins riches </a:t>
          </a:r>
          <a:endParaRPr lang="fr-FR" sz="1100">
            <a:effectLst/>
            <a:ea typeface="Calibri"/>
            <a:cs typeface="Times New Roman"/>
          </a:endParaRPr>
        </a:p>
      </xdr:txBody>
    </xdr:sp>
    <xdr:clientData/>
  </xdr:twoCellAnchor>
  <xdr:twoCellAnchor>
    <xdr:from>
      <xdr:col>0</xdr:col>
      <xdr:colOff>16934</xdr:colOff>
      <xdr:row>12</xdr:row>
      <xdr:rowOff>135467</xdr:rowOff>
    </xdr:from>
    <xdr:to>
      <xdr:col>5</xdr:col>
      <xdr:colOff>101600</xdr:colOff>
      <xdr:row>19</xdr:row>
      <xdr:rowOff>25400</xdr:rowOff>
    </xdr:to>
    <xdr:sp macro="" textlink="">
      <xdr:nvSpPr>
        <xdr:cNvPr id="6" name="Zone de texte 61"/>
        <xdr:cNvSpPr txBox="1"/>
      </xdr:nvSpPr>
      <xdr:spPr>
        <a:xfrm>
          <a:off x="16934" y="2819400"/>
          <a:ext cx="5181599" cy="1134533"/>
        </a:xfrm>
        <a:prstGeom prst="rect">
          <a:avLst/>
        </a:prstGeom>
        <a:solidFill>
          <a:schemeClr val="lt1"/>
        </a:solidFill>
        <a:ln w="6350">
          <a:solidFill>
            <a:prstClr val="black"/>
          </a:solidFill>
        </a:ln>
        <a:effectLst/>
        <a:scene3d>
          <a:camera prst="orthographicFront"/>
          <a:lightRig rig="threePt" dir="t"/>
        </a:scene3d>
        <a:sp3d>
          <a:bevelT/>
        </a:sp3d>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fr-FR" sz="900" b="1" i="1">
              <a:effectLst/>
              <a:ea typeface="Calibri"/>
              <a:cs typeface="Times New Roman"/>
            </a:rPr>
            <a:t>(**) Taux de pauvreté</a:t>
          </a:r>
          <a:endParaRPr lang="fr-FR" sz="1100">
            <a:effectLst/>
            <a:ea typeface="Calibri"/>
            <a:cs typeface="Times New Roman"/>
          </a:endParaRPr>
        </a:p>
        <a:p>
          <a:pPr>
            <a:lnSpc>
              <a:spcPct val="115000"/>
            </a:lnSpc>
            <a:spcAft>
              <a:spcPts val="1000"/>
            </a:spcAft>
          </a:pPr>
          <a:r>
            <a:rPr lang="fr-FR" sz="900" i="1">
              <a:effectLst/>
            </a:rPr>
            <a:t>Le taux de pauvreté correspond à la proportion d'individus (ou de ménages) dont le niveau de vie est inférieur pour une année donnée à un seuil, dénommé seuil de pauvreté (exprimé en euros). le seuil de pauvreté est déterminé par rapport à la distribution des niveaux de vie de l'ensemble de la population. On privilégie en Europe le seuil de 60 % du niveau de vie médian.</a:t>
          </a:r>
          <a:r>
            <a:rPr lang="fr-FR" sz="900">
              <a:effectLst/>
            </a:rPr>
            <a:t> </a:t>
          </a:r>
          <a:r>
            <a:rPr lang="fr-FR">
              <a:effectLst/>
            </a:rPr>
            <a:t> </a:t>
          </a:r>
          <a:r>
            <a:rPr lang="fr-FR" sz="900" i="1">
              <a:effectLst/>
              <a:ea typeface="Calibri"/>
              <a:cs typeface="Times New Roman"/>
            </a:rPr>
            <a:t> </a:t>
          </a:r>
          <a:endParaRPr lang="fr-FR" sz="1100">
            <a:effectLst/>
            <a:ea typeface="Calibri"/>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132245</xdr:colOff>
      <xdr:row>2</xdr:row>
      <xdr:rowOff>185638</xdr:rowOff>
    </xdr:from>
    <xdr:to>
      <xdr:col>14</xdr:col>
      <xdr:colOff>279400</xdr:colOff>
      <xdr:row>16</xdr:row>
      <xdr:rowOff>44450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90170</xdr:colOff>
      <xdr:row>25</xdr:row>
      <xdr:rowOff>175260</xdr:rowOff>
    </xdr:from>
    <xdr:to>
      <xdr:col>14</xdr:col>
      <xdr:colOff>288290</xdr:colOff>
      <xdr:row>35</xdr:row>
      <xdr:rowOff>27940</xdr:rowOff>
    </xdr:to>
    <xdr:graphicFrame macro="">
      <xdr:nvGraphicFramePr>
        <xdr:cNvPr id="22" name="Graphique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76200</xdr:colOff>
      <xdr:row>38</xdr:row>
      <xdr:rowOff>129540</xdr:rowOff>
    </xdr:from>
    <xdr:to>
      <xdr:col>14</xdr:col>
      <xdr:colOff>198119</xdr:colOff>
      <xdr:row>49</xdr:row>
      <xdr:rowOff>160020</xdr:rowOff>
    </xdr:to>
    <xdr:graphicFrame macro="">
      <xdr:nvGraphicFramePr>
        <xdr:cNvPr id="24" name="Graphique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96520</xdr:colOff>
      <xdr:row>51</xdr:row>
      <xdr:rowOff>25400</xdr:rowOff>
    </xdr:from>
    <xdr:to>
      <xdr:col>14</xdr:col>
      <xdr:colOff>241300</xdr:colOff>
      <xdr:row>62</xdr:row>
      <xdr:rowOff>63500</xdr:rowOff>
    </xdr:to>
    <xdr:graphicFrame macro="">
      <xdr:nvGraphicFramePr>
        <xdr:cNvPr id="9" name="Graphique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63730</xdr:colOff>
      <xdr:row>0</xdr:row>
      <xdr:rowOff>23539</xdr:rowOff>
    </xdr:from>
    <xdr:to>
      <xdr:col>0</xdr:col>
      <xdr:colOff>279730</xdr:colOff>
      <xdr:row>0</xdr:row>
      <xdr:rowOff>239539</xdr:rowOff>
    </xdr:to>
    <xdr:pic>
      <xdr:nvPicPr>
        <xdr:cNvPr id="3" name="Image 2"/>
        <xdr:cNvPicPr>
          <a:picLocks noChangeAspect="1"/>
        </xdr:cNvPicPr>
      </xdr:nvPicPr>
      <xdr:blipFill>
        <a:blip xmlns:r="http://schemas.openxmlformats.org/officeDocument/2006/relationships" r:embed="rId5" cstate="print">
          <a:biLevel thresh="25000"/>
          <a:extLst>
            <a:ext uri="{28A0092B-C50C-407E-A947-70E740481C1C}">
              <a14:useLocalDpi xmlns:a14="http://schemas.microsoft.com/office/drawing/2010/main" val="0"/>
            </a:ext>
          </a:extLst>
        </a:blip>
        <a:stretch>
          <a:fillRect/>
        </a:stretch>
      </xdr:blipFill>
      <xdr:spPr>
        <a:xfrm>
          <a:off x="63730" y="23539"/>
          <a:ext cx="216000" cy="216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188181</xdr:colOff>
      <xdr:row>19</xdr:row>
      <xdr:rowOff>38099</xdr:rowOff>
    </xdr:from>
    <xdr:to>
      <xdr:col>11</xdr:col>
      <xdr:colOff>2129625</xdr:colOff>
      <xdr:row>28</xdr:row>
      <xdr:rowOff>171284</xdr:rowOff>
    </xdr:to>
    <xdr:graphicFrame macro="">
      <xdr:nvGraphicFramePr>
        <xdr:cNvPr id="12" name="Graphique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190500</xdr:colOff>
      <xdr:row>29</xdr:row>
      <xdr:rowOff>86427</xdr:rowOff>
    </xdr:from>
    <xdr:to>
      <xdr:col>11</xdr:col>
      <xdr:colOff>2122006</xdr:colOff>
      <xdr:row>38</xdr:row>
      <xdr:rowOff>127553</xdr:rowOff>
    </xdr:to>
    <xdr:graphicFrame macro="">
      <xdr:nvGraphicFramePr>
        <xdr:cNvPr id="13" name="Graphique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71562</xdr:colOff>
      <xdr:row>50</xdr:row>
      <xdr:rowOff>62616</xdr:rowOff>
    </xdr:from>
    <xdr:to>
      <xdr:col>11</xdr:col>
      <xdr:colOff>2274736</xdr:colOff>
      <xdr:row>59</xdr:row>
      <xdr:rowOff>113504</xdr:rowOff>
    </xdr:to>
    <xdr:graphicFrame macro="">
      <xdr:nvGraphicFramePr>
        <xdr:cNvPr id="14" name="Graphique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97073</xdr:colOff>
      <xdr:row>60</xdr:row>
      <xdr:rowOff>43151</xdr:rowOff>
    </xdr:from>
    <xdr:to>
      <xdr:col>11</xdr:col>
      <xdr:colOff>2247239</xdr:colOff>
      <xdr:row>68</xdr:row>
      <xdr:rowOff>80508</xdr:rowOff>
    </xdr:to>
    <xdr:graphicFrame macro="">
      <xdr:nvGraphicFramePr>
        <xdr:cNvPr id="15" name="Graphique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195469</xdr:colOff>
      <xdr:row>3</xdr:row>
      <xdr:rowOff>138733</xdr:rowOff>
    </xdr:from>
    <xdr:to>
      <xdr:col>11</xdr:col>
      <xdr:colOff>2153478</xdr:colOff>
      <xdr:row>15</xdr:row>
      <xdr:rowOff>26503</xdr:rowOff>
    </xdr:to>
    <xdr:graphicFrame macro="">
      <xdr:nvGraphicFramePr>
        <xdr:cNvPr id="16" name="Graphique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89452</xdr:colOff>
      <xdr:row>80</xdr:row>
      <xdr:rowOff>202509</xdr:rowOff>
    </xdr:from>
    <xdr:to>
      <xdr:col>11</xdr:col>
      <xdr:colOff>2187691</xdr:colOff>
      <xdr:row>91</xdr:row>
      <xdr:rowOff>61863</xdr:rowOff>
    </xdr:to>
    <xdr:graphicFrame macro="">
      <xdr:nvGraphicFramePr>
        <xdr:cNvPr id="19" name="Graphique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89122</xdr:colOff>
      <xdr:row>92</xdr:row>
      <xdr:rowOff>61954</xdr:rowOff>
    </xdr:from>
    <xdr:to>
      <xdr:col>11</xdr:col>
      <xdr:colOff>2187361</xdr:colOff>
      <xdr:row>101</xdr:row>
      <xdr:rowOff>119933</xdr:rowOff>
    </xdr:to>
    <xdr:graphicFrame macro="">
      <xdr:nvGraphicFramePr>
        <xdr:cNvPr id="11" name="Graphiqu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135833</xdr:colOff>
      <xdr:row>70</xdr:row>
      <xdr:rowOff>46269</xdr:rowOff>
    </xdr:from>
    <xdr:to>
      <xdr:col>11</xdr:col>
      <xdr:colOff>2228931</xdr:colOff>
      <xdr:row>80</xdr:row>
      <xdr:rowOff>74543</xdr:rowOff>
    </xdr:to>
    <xdr:graphicFrame macro="">
      <xdr:nvGraphicFramePr>
        <xdr:cNvPr id="18" name="Graphique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49694</xdr:colOff>
      <xdr:row>0</xdr:row>
      <xdr:rowOff>25858</xdr:rowOff>
    </xdr:from>
    <xdr:to>
      <xdr:col>0</xdr:col>
      <xdr:colOff>297996</xdr:colOff>
      <xdr:row>0</xdr:row>
      <xdr:rowOff>223858</xdr:rowOff>
    </xdr:to>
    <xdr:pic>
      <xdr:nvPicPr>
        <xdr:cNvPr id="3" name="Image 2"/>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4126" r="40788" b="-1"/>
        <a:stretch/>
      </xdr:blipFill>
      <xdr:spPr>
        <a:xfrm>
          <a:off x="49694" y="25858"/>
          <a:ext cx="248302" cy="19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76531</xdr:colOff>
      <xdr:row>5</xdr:row>
      <xdr:rowOff>123576</xdr:rowOff>
    </xdr:from>
    <xdr:to>
      <xdr:col>14</xdr:col>
      <xdr:colOff>471748</xdr:colOff>
      <xdr:row>18</xdr:row>
      <xdr:rowOff>77194</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87795</xdr:colOff>
      <xdr:row>23</xdr:row>
      <xdr:rowOff>66509</xdr:rowOff>
    </xdr:from>
    <xdr:to>
      <xdr:col>14</xdr:col>
      <xdr:colOff>483012</xdr:colOff>
      <xdr:row>36</xdr:row>
      <xdr:rowOff>49943</xdr:rowOff>
    </xdr:to>
    <xdr:graphicFrame macro="">
      <xdr:nvGraphicFramePr>
        <xdr:cNvPr id="18" name="Graphique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107673</xdr:colOff>
      <xdr:row>37</xdr:row>
      <xdr:rowOff>128878</xdr:rowOff>
    </xdr:from>
    <xdr:to>
      <xdr:col>14</xdr:col>
      <xdr:colOff>490330</xdr:colOff>
      <xdr:row>47</xdr:row>
      <xdr:rowOff>77525</xdr:rowOff>
    </xdr:to>
    <xdr:graphicFrame macro="">
      <xdr:nvGraphicFramePr>
        <xdr:cNvPr id="11" name="Graphiqu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47625</xdr:colOff>
      <xdr:row>0</xdr:row>
      <xdr:rowOff>15953</xdr:rowOff>
    </xdr:from>
    <xdr:to>
      <xdr:col>0</xdr:col>
      <xdr:colOff>319437</xdr:colOff>
      <xdr:row>0</xdr:row>
      <xdr:rowOff>231953</xdr:rowOff>
    </xdr:to>
    <xdr:pic>
      <xdr:nvPicPr>
        <xdr:cNvPr id="5" name="Image 4"/>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3726" b="3726"/>
        <a:stretch/>
      </xdr:blipFill>
      <xdr:spPr>
        <a:xfrm>
          <a:off x="47625" y="15953"/>
          <a:ext cx="271812" cy="216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139149</xdr:colOff>
      <xdr:row>17</xdr:row>
      <xdr:rowOff>34185</xdr:rowOff>
    </xdr:from>
    <xdr:to>
      <xdr:col>11</xdr:col>
      <xdr:colOff>1726149</xdr:colOff>
      <xdr:row>25</xdr:row>
      <xdr:rowOff>35616</xdr:rowOff>
    </xdr:to>
    <xdr:graphicFrame macro="">
      <xdr:nvGraphicFramePr>
        <xdr:cNvPr id="9" name="Graphique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131528</xdr:colOff>
      <xdr:row>25</xdr:row>
      <xdr:rowOff>121881</xdr:rowOff>
    </xdr:from>
    <xdr:to>
      <xdr:col>11</xdr:col>
      <xdr:colOff>1718528</xdr:colOff>
      <xdr:row>33</xdr:row>
      <xdr:rowOff>150474</xdr:rowOff>
    </xdr:to>
    <xdr:graphicFrame macro="">
      <xdr:nvGraphicFramePr>
        <xdr:cNvPr id="10" name="Graphique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74544</xdr:colOff>
      <xdr:row>0</xdr:row>
      <xdr:rowOff>16566</xdr:rowOff>
    </xdr:from>
    <xdr:to>
      <xdr:col>0</xdr:col>
      <xdr:colOff>344963</xdr:colOff>
      <xdr:row>0</xdr:row>
      <xdr:rowOff>232566</xdr:rowOff>
    </xdr:to>
    <xdr:pic>
      <xdr:nvPicPr>
        <xdr:cNvPr id="2" name="Image 1"/>
        <xdr:cNvPicPr>
          <a:picLocks noChangeAspect="1"/>
        </xdr:cNvPicPr>
      </xdr:nvPicPr>
      <xdr:blipFill rotWithShape="1">
        <a:blip xmlns:r="http://schemas.openxmlformats.org/officeDocument/2006/relationships" r:embed="rId3" cstate="print">
          <a:biLevel thresh="25000"/>
          <a:extLst>
            <a:ext uri="{28A0092B-C50C-407E-A947-70E740481C1C}">
              <a14:useLocalDpi xmlns:a14="http://schemas.microsoft.com/office/drawing/2010/main" val="0"/>
            </a:ext>
          </a:extLst>
        </a:blip>
        <a:srcRect l="5417" t="11529" r="4848" b="16794"/>
        <a:stretch/>
      </xdr:blipFill>
      <xdr:spPr>
        <a:xfrm>
          <a:off x="74544" y="16566"/>
          <a:ext cx="270419" cy="21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20ETUDES\10%20Rochecorbon\etude%20prealable\stat%20socio-demo-transportD\donn&#233;es%20exc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1"/>
      <sheetName val="habitat"/>
      <sheetName val="popo active"/>
      <sheetName val="Emploi - Pop active"/>
      <sheetName val="Famille"/>
      <sheetName val="Logement"/>
      <sheetName val="Population"/>
      <sheetName val="Traitements Marion"/>
    </sheetNames>
    <sheetDataSet>
      <sheetData sheetId="0" refreshError="1"/>
      <sheetData sheetId="1" refreshError="1"/>
      <sheetData sheetId="2" refreshError="1"/>
      <sheetData sheetId="3">
        <row r="1">
          <cell r="A1" t="str">
            <v>Code géographique</v>
          </cell>
        </row>
      </sheetData>
      <sheetData sheetId="4">
        <row r="1">
          <cell r="A1" t="str">
            <v>Code géographique</v>
          </cell>
          <cell r="B1" t="str">
            <v>Libellé géographique</v>
          </cell>
          <cell r="C1" t="str">
            <v>EPCI Administratives 2010</v>
          </cell>
          <cell r="D1" t="str">
            <v>Ménages en 2006 (compl)</v>
          </cell>
          <cell r="E1" t="str">
            <v>Ménages 1 personne en 2006 (compl)</v>
          </cell>
          <cell r="F1" t="str">
            <v>Ménages Hommes seuls en 2006 (compl)</v>
          </cell>
          <cell r="G1" t="str">
            <v>Ménages Femmes seules en 2006 (compl)</v>
          </cell>
          <cell r="H1" t="str">
            <v>Ménages Autres sans famille en 2006 (compl)</v>
          </cell>
          <cell r="I1" t="str">
            <v>Ménages avec famille(s) en 2006 (compl)</v>
          </cell>
          <cell r="J1" t="str">
            <v>Mén fam princ Couple sans enfant en 2006 (compl)</v>
          </cell>
          <cell r="K1" t="str">
            <v>Mén fam princ Couple avec enfant(s) en 2006 (compl)</v>
          </cell>
          <cell r="L1" t="str">
            <v>Mén fam princ Famille mono en 2006 (compl)</v>
          </cell>
          <cell r="M1" t="str">
            <v>Ménages en 1999 (compl)</v>
          </cell>
          <cell r="N1" t="str">
            <v>Ménages 1 personne en 1999 (compl)</v>
          </cell>
          <cell r="O1" t="str">
            <v>Ménages Hommes seuls en 1999 (compl)</v>
          </cell>
          <cell r="P1" t="str">
            <v>Ménages Femmes seules en 1999 (compl)</v>
          </cell>
          <cell r="Q1" t="str">
            <v>Ménages Autres sans famille en 1999 (compl)</v>
          </cell>
          <cell r="R1" t="str">
            <v>Ménages avec famille(s) en 1999 (compl)</v>
          </cell>
          <cell r="S1" t="str">
            <v>Mén fam princ Couple sans enfant en 1999 (compl)</v>
          </cell>
          <cell r="T1" t="str">
            <v>Mén fam princ Couple avec enfant(s) en 1999 (compl)</v>
          </cell>
          <cell r="U1" t="str">
            <v>Mén fam princ Famille mono en 1999 (compl)</v>
          </cell>
          <cell r="V1" t="str">
            <v>Pop Ménages en 2006 (compl)</v>
          </cell>
          <cell r="W1" t="str">
            <v>Pop mén Personnes seules en 2006 (compl)</v>
          </cell>
          <cell r="X1" t="str">
            <v>Pop mén Hommes seuls en 2006 (compl)</v>
          </cell>
          <cell r="Y1" t="str">
            <v>Pop mén Femmes seules en 2006 (compl)</v>
          </cell>
          <cell r="Z1" t="str">
            <v>Pop mén Autres sans famille en 2006 (compl)</v>
          </cell>
          <cell r="AA1" t="str">
            <v>Pop mén avec famille(s) en 2006 (compl)</v>
          </cell>
          <cell r="AB1" t="str">
            <v>Pop mén fam princ Couple sans enfant en 2006 (compl)</v>
          </cell>
          <cell r="AC1" t="str">
            <v>Pop mén fam princ Couple avec enfant(s) en 2006 (compl)</v>
          </cell>
          <cell r="AD1" t="str">
            <v>Pop mén fam princ Famille mono en 2006 (compl)</v>
          </cell>
          <cell r="AE1" t="str">
            <v>Pop Ménages en 1999 (compl)</v>
          </cell>
          <cell r="AF1" t="str">
            <v>Pop mén Personnes seules en 1999 (compl)</v>
          </cell>
          <cell r="AG1" t="str">
            <v>Pop mén Hommes seuls en 1999 (compl)</v>
          </cell>
          <cell r="AH1" t="str">
            <v>Pop mén Femmes seules en 1999 (compl)</v>
          </cell>
          <cell r="AI1" t="str">
            <v>Pop mén Autres sans famille en 1999 (compl)</v>
          </cell>
          <cell r="AJ1" t="str">
            <v>Pop mén avec famille(s) en 1999 (compl)</v>
          </cell>
          <cell r="AK1" t="str">
            <v>Pop mén fam princ Couple sans enfant en 1999 (compl)</v>
          </cell>
          <cell r="AL1" t="str">
            <v>Pop mén fam princ Couple avec enfant(s) en 1999 (compl)</v>
          </cell>
          <cell r="AM1" t="str">
            <v>Pop mén fam princ Famille mono en 1999 (compl)</v>
          </cell>
          <cell r="AN1" t="str">
            <v>Ménages (Rés princ) en 2006 (princ)</v>
          </cell>
          <cell r="AO1" t="str">
            <v>Pop Ménages (Pop Rés princ) en 2006 (princ)</v>
          </cell>
          <cell r="AP1" t="str">
            <v>Ménages (Rés princ) en 1999 (princ)</v>
          </cell>
          <cell r="AQ1" t="str">
            <v>Pop Ménages (Pop Rés princ) en 1999 (princ)</v>
          </cell>
          <cell r="AR1" t="str">
            <v>Ménages (Rés princ) en 1990 (dnbt)</v>
          </cell>
          <cell r="AS1" t="str">
            <v>Pop Ménages (Pop Rés princ) en 1990 (dnbt)</v>
          </cell>
          <cell r="AT1" t="str">
            <v>Ménages (Rés princ) en 1982 (dnbt)</v>
          </cell>
          <cell r="AU1" t="str">
            <v>Pop Ménages (Pop Rés princ) en 1982 (dnbt)</v>
          </cell>
          <cell r="AV1" t="str">
            <v>Ménages (Rés princ) en 1975 (dnbt)</v>
          </cell>
          <cell r="AW1" t="str">
            <v>Pop Ménages (Pop Rés princ) en 1975 (dnbt)</v>
          </cell>
          <cell r="AX1" t="str">
            <v>Ménages (Rés princ) en 1968 (dnbt)</v>
          </cell>
          <cell r="AY1" t="str">
            <v>Pop Ménages (Pop Rés princ) en 1968 (dnbt)</v>
          </cell>
          <cell r="AZ1" t="str">
            <v>Pop 15 ans ou plus en 2006 (princ)</v>
          </cell>
          <cell r="BA1" t="str">
            <v>Pop 15-19 ans en 2006 (princ)</v>
          </cell>
          <cell r="BB1" t="str">
            <v>Pop 20-24 ans en 2006 (princ)</v>
          </cell>
          <cell r="BC1" t="str">
            <v>Pop 25-39 ans en 2006 (princ)</v>
          </cell>
          <cell r="BD1" t="str">
            <v>Pop 40-54 ans en 2006 (princ)</v>
          </cell>
          <cell r="BE1" t="str">
            <v>Pop 55-64 ans en 2006 (princ)</v>
          </cell>
          <cell r="BF1" t="str">
            <v>Pop 65-79 ans en 2006 (princ)</v>
          </cell>
          <cell r="BG1" t="str">
            <v>Pop 80 ans ou plus en 2006 (princ)</v>
          </cell>
          <cell r="BH1" t="str">
            <v>Pop mén 15-19 ans en 2006 (princ)</v>
          </cell>
          <cell r="BI1" t="str">
            <v>Pop mén 20-24 ans en 2006 (princ)</v>
          </cell>
          <cell r="BJ1" t="str">
            <v>Pop mén 25-39 ans en 2006 (princ)</v>
          </cell>
          <cell r="BK1" t="str">
            <v>Pop mén 40-54 ans en 2006 (princ)</v>
          </cell>
          <cell r="BL1" t="str">
            <v>Pop mén 55-64 ans en 2006 (princ)</v>
          </cell>
          <cell r="BM1" t="str">
            <v>Pop mén 65-79 ans en 2006 (princ)</v>
          </cell>
          <cell r="BN1" t="str">
            <v>Pop mén 80 ans ou plus en 2006 (princ)</v>
          </cell>
          <cell r="BO1" t="str">
            <v>Pop 15-19 ans vivant seule en 2006 (princ)</v>
          </cell>
          <cell r="BP1" t="str">
            <v>Pop 20-24 ans vivant seule en 2006 (princ)</v>
          </cell>
          <cell r="BQ1" t="str">
            <v>Pop 25-39 ans vivant seule en 2006 (princ)</v>
          </cell>
          <cell r="BR1" t="str">
            <v>Pop 40-54 ans vivant seule en 2006 (princ)</v>
          </cell>
          <cell r="BS1" t="str">
            <v>Pop 55-64 ans vivant seule en 2006 (princ)</v>
          </cell>
          <cell r="BT1" t="str">
            <v>Pop 65-79 ans vivant seule en 2006 (princ)</v>
          </cell>
          <cell r="BU1" t="str">
            <v>Pop 80 ans ou plus vivant seule en 2006 (princ)</v>
          </cell>
          <cell r="BV1" t="str">
            <v>Pop 15-19 ans vivant en couple en 2006 (princ)</v>
          </cell>
          <cell r="BW1" t="str">
            <v>Pop 20-24 ans vivant en couple en 2006 (princ)</v>
          </cell>
          <cell r="BX1" t="str">
            <v>Pop 25-39 ans vivant en couple en 2006 (princ)</v>
          </cell>
          <cell r="BY1" t="str">
            <v>Pop 40-54 ans vivant en couple en 2006 (princ)</v>
          </cell>
          <cell r="BZ1" t="str">
            <v>Pop 55-64 ans vivant en couple en 2006 (princ)</v>
          </cell>
          <cell r="CA1" t="str">
            <v>Pop 65-79 ans vivant en couple en 2006 (princ)</v>
          </cell>
          <cell r="CB1" t="str">
            <v>Pop 80 ans ou plus vivant en couple en 2006 (princ)</v>
          </cell>
          <cell r="CC1" t="str">
            <v>Pop mén 15-19 ans en 1999 (princ)</v>
          </cell>
          <cell r="CD1" t="str">
            <v>Pop mén 20-24 ans en 1999 (princ)</v>
          </cell>
          <cell r="CE1" t="str">
            <v>Pop mén 25-39 ans en 1999 (princ)</v>
          </cell>
          <cell r="CF1" t="str">
            <v>Pop mén 40-54 ans en 1999 (princ)</v>
          </cell>
          <cell r="CG1" t="str">
            <v>Pop mén 55-64 ans en 1999 (princ)</v>
          </cell>
          <cell r="CH1" t="str">
            <v>Pop mén 65-79 ans en 1999 (princ)</v>
          </cell>
          <cell r="CI1" t="str">
            <v>Pop mén 80 ans ou plus en 1999 (princ)</v>
          </cell>
          <cell r="CJ1" t="str">
            <v>Pop 15-19 ans vivant seule en 1999 (princ)</v>
          </cell>
          <cell r="CK1" t="str">
            <v>Pop 20-24 ans vivant seule en 1999 (princ)</v>
          </cell>
          <cell r="CL1" t="str">
            <v>Pop 25-39 ans vivant seule en 1999 (princ)</v>
          </cell>
          <cell r="CM1" t="str">
            <v>Pop 40-54 ans vivant seule en 1999 (princ)</v>
          </cell>
          <cell r="CN1" t="str">
            <v>Pop 55-64 ans vivant seule en 1999 (princ)</v>
          </cell>
          <cell r="CO1" t="str">
            <v>Pop 65-79 ans vivant seule en 1999 (princ)</v>
          </cell>
          <cell r="CP1" t="str">
            <v>Pop 80 ans ou plus vivant seule en 1999 (princ)</v>
          </cell>
          <cell r="CQ1" t="str">
            <v>Pop 15 ans ou plus Marié en 2006 (princ)</v>
          </cell>
          <cell r="CR1" t="str">
            <v>Pop 15 ans ou plus Célibataire en 2006 (princ)</v>
          </cell>
          <cell r="CS1" t="str">
            <v>Pop 15 ans ou plus Veuf en 2006 (princ)</v>
          </cell>
          <cell r="CT1" t="str">
            <v>Pop 15 ans ou plus Divorcé en 2006 (princ)</v>
          </cell>
          <cell r="CU1" t="str">
            <v>Ménages Pers Réf Agri. expl. en 2006 (compl)</v>
          </cell>
          <cell r="CV1" t="str">
            <v>Ménages Pers Réf Art. Comm. Chefs entr. en 2006 (compl)</v>
          </cell>
          <cell r="CW1" t="str">
            <v>Ménages Pers Réf Cadres Prof int sup en 2006 (compl)</v>
          </cell>
          <cell r="CX1" t="str">
            <v>Ménages Pers Réf Prof intermédiaire en 2006 (compl)</v>
          </cell>
          <cell r="CY1" t="str">
            <v>Ménages Pers Réf Employé en 2006 (compl)</v>
          </cell>
          <cell r="CZ1" t="str">
            <v>Ménages Pers Réf Ouvrier en 2006 (compl)</v>
          </cell>
          <cell r="DA1" t="str">
            <v>Ménages Pers Réf Retraité en 2006 (compl)</v>
          </cell>
          <cell r="DB1" t="str">
            <v>Ménages Pers Réf Autre en 2006 (compl)</v>
          </cell>
          <cell r="DC1" t="str">
            <v>Pop mén Pers Réf Agri. expl. en 2006 (compl)</v>
          </cell>
          <cell r="DD1" t="str">
            <v>Pop mén Pers Réf Art Com Chef ent en 2006 (compl)</v>
          </cell>
          <cell r="DE1" t="str">
            <v>Pop mén Pers Réf Cadres Prof int sup en 2006 (compl)</v>
          </cell>
          <cell r="DF1" t="str">
            <v>Pop mén Pers Réf Prof intermédiaire en 2006 (compl)</v>
          </cell>
          <cell r="DG1" t="str">
            <v>Pop mén Pers Réf Employé en 2006 (compl)</v>
          </cell>
          <cell r="DH1" t="str">
            <v>Pop mén Pers Réf Ouvrier en 2006 (compl)</v>
          </cell>
          <cell r="DI1" t="str">
            <v>Pop mén Pers Réf Retraité en 2006 (compl)</v>
          </cell>
          <cell r="DJ1" t="str">
            <v>Pop mén Pers Réf Autre en 2006 (compl)</v>
          </cell>
          <cell r="DK1" t="str">
            <v>Ménages Pers Réf Agri. expl. en 1999 (compl)</v>
          </cell>
          <cell r="DL1" t="str">
            <v>Ménages Pers Réf Art Com Chef ent en 1999 (compl)</v>
          </cell>
          <cell r="DM1" t="str">
            <v>Ménages Pers Réf Cadres Prof int sup en 1999 (compl)</v>
          </cell>
          <cell r="DN1" t="str">
            <v>Ménages Pers Réf Prof intermédiaire en 1999 (compl)</v>
          </cell>
          <cell r="DO1" t="str">
            <v>Ménages Pers Réf Employé en 1999 (compl)</v>
          </cell>
          <cell r="DP1" t="str">
            <v>Ménages Pers Réf Ouvrier en 1999 (compl)</v>
          </cell>
          <cell r="DQ1" t="str">
            <v>Ménages Pers Réf Retraité en 1999 (compl)</v>
          </cell>
          <cell r="DR1" t="str">
            <v>Ménages Pers Réf Autre en 1999 (compl)</v>
          </cell>
          <cell r="DS1" t="str">
            <v>Familles en 2006 (compl)</v>
          </cell>
          <cell r="DT1" t="str">
            <v>Fam Couple avec enfant(s) en 2006 (compl)</v>
          </cell>
          <cell r="DU1" t="str">
            <v>Fam Monoparentales en 2006 (compl)</v>
          </cell>
          <cell r="DV1" t="str">
            <v>Fam Mono Hommes avec enfant(s) en 2006 (compl)</v>
          </cell>
          <cell r="DW1" t="str">
            <v>Fam Mono Femmes avec enfant(s) en 2006 (compl)</v>
          </cell>
          <cell r="DX1" t="str">
            <v>Fam Couple sans enfant en 2006 (compl)</v>
          </cell>
          <cell r="DY1" t="str">
            <v>Familles en 1999 (compl)</v>
          </cell>
          <cell r="DZ1" t="str">
            <v>Fam Couple avec enfant(s) en 1999 (compl)</v>
          </cell>
          <cell r="EA1" t="str">
            <v>Fam Monoparentales en 1999 (compl)</v>
          </cell>
          <cell r="EB1" t="str">
            <v>Fam Mono Hommes avec enfant(s) en 1999 (compl)</v>
          </cell>
          <cell r="EC1" t="str">
            <v>Fam Mono Femmes avec enfant(s) en 1999 (compl)</v>
          </cell>
          <cell r="ED1" t="str">
            <v>Fam Couple sans enfant en 1999 (compl)</v>
          </cell>
          <cell r="EE1" t="str">
            <v>Fam 0 enfant moins 25 ans en 2006 (compl)</v>
          </cell>
          <cell r="EF1" t="str">
            <v>Fam 1 enfant moins 25 ans en 2006 (compl)</v>
          </cell>
          <cell r="EG1" t="str">
            <v>Fam 2 enfants moins 25 ans en 2006 (compl)</v>
          </cell>
          <cell r="EH1" t="str">
            <v>Fam 3 enfants moins 25 ans en 2006 (compl)</v>
          </cell>
          <cell r="EI1" t="str">
            <v>Fam 4 enfants ou plus moins 25 ans en 2006 (compl)</v>
          </cell>
          <cell r="EJ1" t="str">
            <v>Fam 0 enfant moins 25 ans en 1999 (compl)</v>
          </cell>
          <cell r="EK1" t="str">
            <v>Fam 1 enfant moins 25 ans en 1999 (compl)</v>
          </cell>
          <cell r="EL1" t="str">
            <v>Fam 2 enfants moins 25 ans en 1999 (compl)</v>
          </cell>
          <cell r="EM1" t="str">
            <v>Fam 3 enfants moins 25 ans en 1999 (compl)</v>
          </cell>
          <cell r="EN1" t="str">
            <v>Fam 4 enfants ou plus moins 25 ans en 1999 (compl)</v>
          </cell>
        </row>
        <row r="2">
          <cell r="A2" t="str">
            <v>37006</v>
          </cell>
          <cell r="B2" t="str">
            <v>Artannes-sur-Indre</v>
          </cell>
          <cell r="C2" t="str">
            <v>CC du Val de l'Indre</v>
          </cell>
          <cell r="D2">
            <v>976.02986199999998</v>
          </cell>
          <cell r="E2">
            <v>210.642146</v>
          </cell>
          <cell r="F2">
            <v>57.823334000000003</v>
          </cell>
          <cell r="G2">
            <v>152.81881200000001</v>
          </cell>
          <cell r="H2">
            <v>8.1581050000000008</v>
          </cell>
          <cell r="I2">
            <v>757.22961099999998</v>
          </cell>
          <cell r="J2">
            <v>310.00798300000002</v>
          </cell>
          <cell r="K2">
            <v>374.84968400000002</v>
          </cell>
          <cell r="L2">
            <v>72.371943999999999</v>
          </cell>
          <cell r="M2">
            <v>804</v>
          </cell>
          <cell r="N2">
            <v>156</v>
          </cell>
          <cell r="O2">
            <v>60</v>
          </cell>
          <cell r="P2">
            <v>96</v>
          </cell>
          <cell r="Q2">
            <v>4</v>
          </cell>
          <cell r="R2">
            <v>644</v>
          </cell>
          <cell r="S2">
            <v>256</v>
          </cell>
          <cell r="T2">
            <v>356</v>
          </cell>
          <cell r="U2">
            <v>32</v>
          </cell>
          <cell r="V2">
            <v>2503.1777729999999</v>
          </cell>
          <cell r="W2">
            <v>210.642146</v>
          </cell>
          <cell r="X2">
            <v>57.823334000000003</v>
          </cell>
          <cell r="Y2">
            <v>152.81881200000001</v>
          </cell>
          <cell r="Z2">
            <v>16.316210000000002</v>
          </cell>
          <cell r="AA2">
            <v>2276.2194169999998</v>
          </cell>
          <cell r="AB2">
            <v>620.01596600000005</v>
          </cell>
          <cell r="AC2">
            <v>1428.5418460000001</v>
          </cell>
          <cell r="AD2">
            <v>227.66160500000001</v>
          </cell>
          <cell r="AE2">
            <v>2180</v>
          </cell>
          <cell r="AF2">
            <v>156</v>
          </cell>
          <cell r="AG2">
            <v>60</v>
          </cell>
          <cell r="AH2">
            <v>96</v>
          </cell>
          <cell r="AI2">
            <v>8</v>
          </cell>
          <cell r="AJ2">
            <v>2016</v>
          </cell>
          <cell r="AK2">
            <v>532</v>
          </cell>
          <cell r="AL2">
            <v>1392</v>
          </cell>
          <cell r="AM2">
            <v>92</v>
          </cell>
          <cell r="AN2">
            <v>977</v>
          </cell>
          <cell r="AO2">
            <v>2509</v>
          </cell>
          <cell r="AP2">
            <v>802</v>
          </cell>
          <cell r="AQ2">
            <v>2175</v>
          </cell>
          <cell r="AR2">
            <v>684</v>
          </cell>
          <cell r="AS2">
            <v>2085</v>
          </cell>
          <cell r="AT2">
            <v>499</v>
          </cell>
          <cell r="AU2">
            <v>1396</v>
          </cell>
          <cell r="AV2">
            <v>418</v>
          </cell>
          <cell r="AW2">
            <v>1210</v>
          </cell>
          <cell r="AX2">
            <v>393</v>
          </cell>
          <cell r="AY2">
            <v>1138</v>
          </cell>
          <cell r="AZ2">
            <v>1988.890009</v>
          </cell>
          <cell r="BA2">
            <v>166.893856</v>
          </cell>
          <cell r="BB2">
            <v>99.020696999999998</v>
          </cell>
          <cell r="BC2">
            <v>493.11325499999998</v>
          </cell>
          <cell r="BD2">
            <v>607.57861300000002</v>
          </cell>
          <cell r="BE2">
            <v>287.788523</v>
          </cell>
          <cell r="BF2">
            <v>237.92073199999999</v>
          </cell>
          <cell r="BG2">
            <v>96.574331999999998</v>
          </cell>
          <cell r="BH2">
            <v>161.893856</v>
          </cell>
          <cell r="BI2">
            <v>99.020696999999998</v>
          </cell>
          <cell r="BJ2">
            <v>493.11325499999998</v>
          </cell>
          <cell r="BK2">
            <v>607.57861300000002</v>
          </cell>
          <cell r="BL2">
            <v>287.788523</v>
          </cell>
          <cell r="BM2">
            <v>237.92073199999999</v>
          </cell>
          <cell r="BN2">
            <v>96.574331999999998</v>
          </cell>
          <cell r="BO2">
            <v>0</v>
          </cell>
          <cell r="BP2">
            <v>2.0651190000000001</v>
          </cell>
          <cell r="BQ2">
            <v>25.813988999999999</v>
          </cell>
          <cell r="BR2">
            <v>33.041905</v>
          </cell>
          <cell r="BS2">
            <v>29.944227000000001</v>
          </cell>
          <cell r="BT2">
            <v>60.921013000000002</v>
          </cell>
          <cell r="BU2">
            <v>57.823334000000003</v>
          </cell>
          <cell r="BV2">
            <v>3.0215320000000001</v>
          </cell>
          <cell r="BW2">
            <v>26.401803000000001</v>
          </cell>
          <cell r="BX2">
            <v>409.19184999999999</v>
          </cell>
          <cell r="BY2">
            <v>533.26672499999995</v>
          </cell>
          <cell r="BZ2">
            <v>246.76514800000001</v>
          </cell>
          <cell r="CA2">
            <v>166.913814</v>
          </cell>
          <cell r="CB2">
            <v>35.717300999999999</v>
          </cell>
          <cell r="CC2">
            <v>157</v>
          </cell>
          <cell r="CD2">
            <v>95</v>
          </cell>
          <cell r="CE2">
            <v>435</v>
          </cell>
          <cell r="CF2">
            <v>539</v>
          </cell>
          <cell r="CG2">
            <v>185</v>
          </cell>
          <cell r="CH2">
            <v>225</v>
          </cell>
          <cell r="CI2">
            <v>62</v>
          </cell>
          <cell r="CJ2">
            <v>0</v>
          </cell>
          <cell r="CK2">
            <v>1</v>
          </cell>
          <cell r="CL2">
            <v>18</v>
          </cell>
          <cell r="CM2">
            <v>34</v>
          </cell>
          <cell r="CN2">
            <v>17</v>
          </cell>
          <cell r="CO2">
            <v>52</v>
          </cell>
          <cell r="CP2">
            <v>29</v>
          </cell>
          <cell r="CQ2">
            <v>1160.536364</v>
          </cell>
          <cell r="CR2">
            <v>575.75940500000002</v>
          </cell>
          <cell r="CS2">
            <v>129.73314199999999</v>
          </cell>
          <cell r="CT2">
            <v>122.861098</v>
          </cell>
          <cell r="CU2">
            <v>16.014154000000001</v>
          </cell>
          <cell r="CV2">
            <v>76.301260999999997</v>
          </cell>
          <cell r="CW2">
            <v>92.566918999999999</v>
          </cell>
          <cell r="CX2">
            <v>161.26365000000001</v>
          </cell>
          <cell r="CY2">
            <v>96.447517000000005</v>
          </cell>
          <cell r="CZ2">
            <v>217.65829400000001</v>
          </cell>
          <cell r="DA2">
            <v>311.64783</v>
          </cell>
          <cell r="DB2">
            <v>4.1302380000000003</v>
          </cell>
          <cell r="DC2">
            <v>55.999614000000001</v>
          </cell>
          <cell r="DD2">
            <v>247.29687899999999</v>
          </cell>
          <cell r="DE2">
            <v>283.85675800000001</v>
          </cell>
          <cell r="DF2">
            <v>472.02654000000001</v>
          </cell>
          <cell r="DG2">
            <v>307.13462199999998</v>
          </cell>
          <cell r="DH2">
            <v>641.91029300000002</v>
          </cell>
          <cell r="DI2">
            <v>490.82282700000002</v>
          </cell>
          <cell r="DJ2">
            <v>4.1302380000000003</v>
          </cell>
          <cell r="DK2">
            <v>12</v>
          </cell>
          <cell r="DL2">
            <v>64</v>
          </cell>
          <cell r="DM2">
            <v>76</v>
          </cell>
          <cell r="DN2">
            <v>120</v>
          </cell>
          <cell r="DO2">
            <v>52</v>
          </cell>
          <cell r="DP2">
            <v>204</v>
          </cell>
          <cell r="DQ2">
            <v>248</v>
          </cell>
          <cell r="DR2">
            <v>28</v>
          </cell>
          <cell r="DS2">
            <v>757.22961099999998</v>
          </cell>
          <cell r="DT2">
            <v>374.84968400000002</v>
          </cell>
          <cell r="DU2">
            <v>72.371943999999999</v>
          </cell>
          <cell r="DV2">
            <v>23.924475000000001</v>
          </cell>
          <cell r="DW2">
            <v>48.447468999999998</v>
          </cell>
          <cell r="DX2">
            <v>310.00798300000002</v>
          </cell>
          <cell r="DY2">
            <v>652</v>
          </cell>
          <cell r="DZ2">
            <v>356</v>
          </cell>
          <cell r="EA2">
            <v>40</v>
          </cell>
          <cell r="EB2">
            <v>8</v>
          </cell>
          <cell r="EC2">
            <v>32</v>
          </cell>
          <cell r="ED2">
            <v>256</v>
          </cell>
          <cell r="EE2">
            <v>338.25991299999998</v>
          </cell>
          <cell r="EF2">
            <v>169.250091</v>
          </cell>
          <cell r="EG2">
            <v>179.18631600000001</v>
          </cell>
          <cell r="EH2">
            <v>55.059083999999999</v>
          </cell>
          <cell r="EI2">
            <v>15.474207</v>
          </cell>
          <cell r="EJ2">
            <v>292</v>
          </cell>
          <cell r="EK2">
            <v>120</v>
          </cell>
          <cell r="EL2">
            <v>164</v>
          </cell>
          <cell r="EM2">
            <v>72</v>
          </cell>
          <cell r="EN2">
            <v>4</v>
          </cell>
        </row>
        <row r="3">
          <cell r="A3" t="str">
            <v>37015</v>
          </cell>
          <cell r="B3" t="str">
            <v>Azay-sur-Cher</v>
          </cell>
          <cell r="C3" t="str">
            <v>CC de l'Est Tourangeau</v>
          </cell>
          <cell r="D3">
            <v>1088.7656810000001</v>
          </cell>
          <cell r="E3">
            <v>204.02877000000001</v>
          </cell>
          <cell r="F3">
            <v>104.184904</v>
          </cell>
          <cell r="G3">
            <v>99.843866000000006</v>
          </cell>
          <cell r="H3">
            <v>20.920029</v>
          </cell>
          <cell r="I3">
            <v>863.81688199999996</v>
          </cell>
          <cell r="J3">
            <v>323.88132899999999</v>
          </cell>
          <cell r="K3">
            <v>498.47811400000001</v>
          </cell>
          <cell r="L3">
            <v>41.457439000000001</v>
          </cell>
          <cell r="M3">
            <v>964</v>
          </cell>
          <cell r="N3">
            <v>152</v>
          </cell>
          <cell r="O3">
            <v>60</v>
          </cell>
          <cell r="P3">
            <v>92</v>
          </cell>
          <cell r="Q3">
            <v>16</v>
          </cell>
          <cell r="R3">
            <v>796</v>
          </cell>
          <cell r="S3">
            <v>292</v>
          </cell>
          <cell r="T3">
            <v>464</v>
          </cell>
          <cell r="U3">
            <v>40</v>
          </cell>
          <cell r="V3">
            <v>2877.7457800000002</v>
          </cell>
          <cell r="W3">
            <v>204.02877000000001</v>
          </cell>
          <cell r="X3">
            <v>104.184904</v>
          </cell>
          <cell r="Y3">
            <v>99.843866000000006</v>
          </cell>
          <cell r="Z3">
            <v>45.922030999999997</v>
          </cell>
          <cell r="AA3">
            <v>2627.7949779999999</v>
          </cell>
          <cell r="AB3">
            <v>655.67925700000001</v>
          </cell>
          <cell r="AC3">
            <v>1868.7909709999999</v>
          </cell>
          <cell r="AD3">
            <v>103.32475100000001</v>
          </cell>
          <cell r="AE3">
            <v>2692</v>
          </cell>
          <cell r="AF3">
            <v>152</v>
          </cell>
          <cell r="AG3">
            <v>60</v>
          </cell>
          <cell r="AH3">
            <v>92</v>
          </cell>
          <cell r="AI3">
            <v>36</v>
          </cell>
          <cell r="AJ3">
            <v>2504</v>
          </cell>
          <cell r="AK3">
            <v>620</v>
          </cell>
          <cell r="AL3">
            <v>1784</v>
          </cell>
          <cell r="AM3">
            <v>100</v>
          </cell>
          <cell r="AN3">
            <v>1091</v>
          </cell>
          <cell r="AO3">
            <v>2878</v>
          </cell>
          <cell r="AP3">
            <v>964</v>
          </cell>
          <cell r="AQ3">
            <v>2707</v>
          </cell>
          <cell r="AR3">
            <v>800</v>
          </cell>
          <cell r="AS3">
            <v>2387</v>
          </cell>
          <cell r="AT3">
            <v>607</v>
          </cell>
          <cell r="AU3">
            <v>1807</v>
          </cell>
          <cell r="AV3">
            <v>446</v>
          </cell>
          <cell r="AW3">
            <v>1306</v>
          </cell>
          <cell r="AX3">
            <v>388</v>
          </cell>
          <cell r="AY3">
            <v>1176</v>
          </cell>
          <cell r="AZ3">
            <v>2281.8174779999999</v>
          </cell>
          <cell r="BA3">
            <v>190.686016</v>
          </cell>
          <cell r="BB3">
            <v>103.99507</v>
          </cell>
          <cell r="BC3">
            <v>584.45300399999996</v>
          </cell>
          <cell r="BD3">
            <v>786.93615499999999</v>
          </cell>
          <cell r="BE3">
            <v>300.27271500000001</v>
          </cell>
          <cell r="BF3">
            <v>234.36898199999999</v>
          </cell>
          <cell r="BG3">
            <v>81.105534000000006</v>
          </cell>
          <cell r="BH3">
            <v>190.686016</v>
          </cell>
          <cell r="BI3">
            <v>103.99507</v>
          </cell>
          <cell r="BJ3">
            <v>584.45300399999996</v>
          </cell>
          <cell r="BK3">
            <v>786.93615499999999</v>
          </cell>
          <cell r="BL3">
            <v>300.27271500000001</v>
          </cell>
          <cell r="BM3">
            <v>234.36898199999999</v>
          </cell>
          <cell r="BN3">
            <v>81.105534000000006</v>
          </cell>
          <cell r="BO3">
            <v>0</v>
          </cell>
          <cell r="BP3">
            <v>7.5968159999999996</v>
          </cell>
          <cell r="BQ3">
            <v>29.302004</v>
          </cell>
          <cell r="BR3">
            <v>56.433489999999999</v>
          </cell>
          <cell r="BS3">
            <v>31.472522999999999</v>
          </cell>
          <cell r="BT3">
            <v>54.262971</v>
          </cell>
          <cell r="BU3">
            <v>27.131485000000001</v>
          </cell>
          <cell r="BV3">
            <v>0</v>
          </cell>
          <cell r="BW3">
            <v>20.549737</v>
          </cell>
          <cell r="BX3">
            <v>496.09981099999999</v>
          </cell>
          <cell r="BY3">
            <v>706.12515599999995</v>
          </cell>
          <cell r="BZ3">
            <v>265.70881900000001</v>
          </cell>
          <cell r="CA3">
            <v>165.79847899999999</v>
          </cell>
          <cell r="CB3">
            <v>47.389907999999998</v>
          </cell>
          <cell r="CC3">
            <v>178</v>
          </cell>
          <cell r="CD3">
            <v>110</v>
          </cell>
          <cell r="CE3">
            <v>604</v>
          </cell>
          <cell r="CF3">
            <v>715</v>
          </cell>
          <cell r="CG3">
            <v>188</v>
          </cell>
          <cell r="CH3">
            <v>234</v>
          </cell>
          <cell r="CI3">
            <v>49</v>
          </cell>
          <cell r="CJ3">
            <v>1</v>
          </cell>
          <cell r="CK3">
            <v>2</v>
          </cell>
          <cell r="CL3">
            <v>29</v>
          </cell>
          <cell r="CM3">
            <v>37</v>
          </cell>
          <cell r="CN3">
            <v>19</v>
          </cell>
          <cell r="CO3">
            <v>46</v>
          </cell>
          <cell r="CP3">
            <v>17</v>
          </cell>
          <cell r="CQ3">
            <v>1482.6287609999999</v>
          </cell>
          <cell r="CR3">
            <v>571.28069300000004</v>
          </cell>
          <cell r="CS3">
            <v>113.14057099999999</v>
          </cell>
          <cell r="CT3">
            <v>114.767453</v>
          </cell>
          <cell r="CU3">
            <v>15.593341000000001</v>
          </cell>
          <cell r="CV3">
            <v>93.324084999999997</v>
          </cell>
          <cell r="CW3">
            <v>137.885684</v>
          </cell>
          <cell r="CX3">
            <v>262.30192799999998</v>
          </cell>
          <cell r="CY3">
            <v>42.114939</v>
          </cell>
          <cell r="CZ3">
            <v>266.90952700000003</v>
          </cell>
          <cell r="DA3">
            <v>241.16161199999999</v>
          </cell>
          <cell r="DB3">
            <v>29.474564999999998</v>
          </cell>
          <cell r="DC3">
            <v>70.050106999999997</v>
          </cell>
          <cell r="DD3">
            <v>296.08318200000002</v>
          </cell>
          <cell r="DE3">
            <v>439.63404300000002</v>
          </cell>
          <cell r="DF3">
            <v>746.83847600000001</v>
          </cell>
          <cell r="DG3">
            <v>82.946275</v>
          </cell>
          <cell r="DH3">
            <v>742.81695200000001</v>
          </cell>
          <cell r="DI3">
            <v>440.945742</v>
          </cell>
          <cell r="DJ3">
            <v>58.431002999999997</v>
          </cell>
          <cell r="DK3">
            <v>8</v>
          </cell>
          <cell r="DL3">
            <v>68</v>
          </cell>
          <cell r="DM3">
            <v>132</v>
          </cell>
          <cell r="DN3">
            <v>164</v>
          </cell>
          <cell r="DO3">
            <v>100</v>
          </cell>
          <cell r="DP3">
            <v>224</v>
          </cell>
          <cell r="DQ3">
            <v>240</v>
          </cell>
          <cell r="DR3">
            <v>28</v>
          </cell>
          <cell r="DS3">
            <v>867.77518199999997</v>
          </cell>
          <cell r="DT3">
            <v>498.47811400000001</v>
          </cell>
          <cell r="DU3">
            <v>41.457439000000001</v>
          </cell>
          <cell r="DV3">
            <v>12.501001</v>
          </cell>
          <cell r="DW3">
            <v>28.956437999999999</v>
          </cell>
          <cell r="DX3">
            <v>327.839629</v>
          </cell>
          <cell r="DY3">
            <v>804</v>
          </cell>
          <cell r="DZ3">
            <v>464</v>
          </cell>
          <cell r="EA3">
            <v>48</v>
          </cell>
          <cell r="EB3">
            <v>24</v>
          </cell>
          <cell r="EC3">
            <v>24</v>
          </cell>
          <cell r="ED3">
            <v>292</v>
          </cell>
          <cell r="EE3">
            <v>364.71266500000002</v>
          </cell>
          <cell r="EF3">
            <v>208.18841900000001</v>
          </cell>
          <cell r="EG3">
            <v>234.038105</v>
          </cell>
          <cell r="EH3">
            <v>49.782533000000001</v>
          </cell>
          <cell r="EI3">
            <v>11.053459999999999</v>
          </cell>
          <cell r="EJ3">
            <v>332</v>
          </cell>
          <cell r="EK3">
            <v>172</v>
          </cell>
          <cell r="EL3">
            <v>212</v>
          </cell>
          <cell r="EM3">
            <v>76</v>
          </cell>
          <cell r="EN3">
            <v>12</v>
          </cell>
        </row>
        <row r="4">
          <cell r="A4" t="str">
            <v>37018</v>
          </cell>
          <cell r="B4" t="str">
            <v>Ballan-Miré</v>
          </cell>
          <cell r="C4" t="str">
            <v>Tour(s)plus</v>
          </cell>
          <cell r="D4">
            <v>2898.1704500000001</v>
          </cell>
          <cell r="E4">
            <v>595.51447599999995</v>
          </cell>
          <cell r="F4">
            <v>214.385211</v>
          </cell>
          <cell r="G4">
            <v>381.12926499999998</v>
          </cell>
          <cell r="H4">
            <v>31.760771999999999</v>
          </cell>
          <cell r="I4">
            <v>2270.8952020000002</v>
          </cell>
          <cell r="J4">
            <v>1008.404513</v>
          </cell>
          <cell r="K4">
            <v>1071.9260569999999</v>
          </cell>
          <cell r="L4">
            <v>190.56463199999999</v>
          </cell>
          <cell r="M4">
            <v>2460</v>
          </cell>
          <cell r="N4">
            <v>388</v>
          </cell>
          <cell r="O4">
            <v>128</v>
          </cell>
          <cell r="P4">
            <v>260</v>
          </cell>
          <cell r="Q4">
            <v>28</v>
          </cell>
          <cell r="R4">
            <v>2044</v>
          </cell>
          <cell r="S4">
            <v>764</v>
          </cell>
          <cell r="T4">
            <v>1136</v>
          </cell>
          <cell r="U4">
            <v>144</v>
          </cell>
          <cell r="V4">
            <v>7312.9177650000001</v>
          </cell>
          <cell r="W4">
            <v>595.51447599999995</v>
          </cell>
          <cell r="X4">
            <v>214.385211</v>
          </cell>
          <cell r="Y4">
            <v>381.12926499999998</v>
          </cell>
          <cell r="Z4">
            <v>75.431833999999995</v>
          </cell>
          <cell r="AA4">
            <v>6641.9714560000002</v>
          </cell>
          <cell r="AB4">
            <v>2068.4202799999998</v>
          </cell>
          <cell r="AC4">
            <v>4089.1994020000002</v>
          </cell>
          <cell r="AD4">
            <v>484.35177399999998</v>
          </cell>
          <cell r="AE4">
            <v>6880</v>
          </cell>
          <cell r="AF4">
            <v>388</v>
          </cell>
          <cell r="AG4">
            <v>128</v>
          </cell>
          <cell r="AH4">
            <v>260</v>
          </cell>
          <cell r="AI4">
            <v>64</v>
          </cell>
          <cell r="AJ4">
            <v>6428</v>
          </cell>
          <cell r="AK4">
            <v>1576</v>
          </cell>
          <cell r="AL4">
            <v>4488</v>
          </cell>
          <cell r="AM4">
            <v>364</v>
          </cell>
          <cell r="AN4">
            <v>2896.1854020000001</v>
          </cell>
          <cell r="AO4">
            <v>7302</v>
          </cell>
          <cell r="AP4">
            <v>2460</v>
          </cell>
          <cell r="AQ4">
            <v>6913</v>
          </cell>
          <cell r="AR4">
            <v>1955</v>
          </cell>
          <cell r="AS4">
            <v>5919</v>
          </cell>
          <cell r="AT4">
            <v>1394</v>
          </cell>
          <cell r="AU4">
            <v>4462</v>
          </cell>
          <cell r="AV4">
            <v>1073</v>
          </cell>
          <cell r="AW4">
            <v>3703</v>
          </cell>
          <cell r="AX4">
            <v>756</v>
          </cell>
          <cell r="AY4">
            <v>2606</v>
          </cell>
          <cell r="AZ4">
            <v>6172.9687990000002</v>
          </cell>
          <cell r="BA4">
            <v>552.23805300000004</v>
          </cell>
          <cell r="BB4">
            <v>366.55536799999999</v>
          </cell>
          <cell r="BC4">
            <v>1204.616573</v>
          </cell>
          <cell r="BD4">
            <v>1841.3693929999999</v>
          </cell>
          <cell r="BE4">
            <v>996.88626499999998</v>
          </cell>
          <cell r="BF4">
            <v>892.33113000000003</v>
          </cell>
          <cell r="BG4">
            <v>318.972016</v>
          </cell>
          <cell r="BH4">
            <v>544.89574600000003</v>
          </cell>
          <cell r="BI4">
            <v>355.32363700000002</v>
          </cell>
          <cell r="BJ4">
            <v>1195.991573</v>
          </cell>
          <cell r="BK4">
            <v>1826.2443929999999</v>
          </cell>
          <cell r="BL4">
            <v>977.63626499999998</v>
          </cell>
          <cell r="BM4">
            <v>854.56327299999998</v>
          </cell>
          <cell r="BN4">
            <v>200.48987399999999</v>
          </cell>
          <cell r="BO4">
            <v>2.9775719999999999</v>
          </cell>
          <cell r="BP4">
            <v>23.820578999999999</v>
          </cell>
          <cell r="BQ4">
            <v>121.087943</v>
          </cell>
          <cell r="BR4">
            <v>107.192606</v>
          </cell>
          <cell r="BS4">
            <v>106.20008199999999</v>
          </cell>
          <cell r="BT4">
            <v>155.82628800000001</v>
          </cell>
          <cell r="BU4">
            <v>81.386977999999999</v>
          </cell>
          <cell r="BV4">
            <v>2.9775719999999999</v>
          </cell>
          <cell r="BW4">
            <v>77.446785000000006</v>
          </cell>
          <cell r="BX4">
            <v>923.81986500000005</v>
          </cell>
          <cell r="BY4">
            <v>1574.7329749999999</v>
          </cell>
          <cell r="BZ4">
            <v>859.74807999999996</v>
          </cell>
          <cell r="CA4">
            <v>692.82131000000004</v>
          </cell>
          <cell r="CB4">
            <v>114.49561</v>
          </cell>
          <cell r="CC4">
            <v>539</v>
          </cell>
          <cell r="CD4">
            <v>310</v>
          </cell>
          <cell r="CE4">
            <v>1371</v>
          </cell>
          <cell r="CF4">
            <v>1689</v>
          </cell>
          <cell r="CG4">
            <v>735</v>
          </cell>
          <cell r="CH4">
            <v>608</v>
          </cell>
          <cell r="CI4">
            <v>129</v>
          </cell>
          <cell r="CJ4">
            <v>2</v>
          </cell>
          <cell r="CK4">
            <v>12</v>
          </cell>
          <cell r="CL4">
            <v>71</v>
          </cell>
          <cell r="CM4">
            <v>64</v>
          </cell>
          <cell r="CN4">
            <v>65</v>
          </cell>
          <cell r="CO4">
            <v>104</v>
          </cell>
          <cell r="CP4">
            <v>64</v>
          </cell>
          <cell r="CQ4">
            <v>3648.5112119999999</v>
          </cell>
          <cell r="CR4">
            <v>1710.817045</v>
          </cell>
          <cell r="CS4">
            <v>425.48438599999997</v>
          </cell>
          <cell r="CT4">
            <v>388.15615700000001</v>
          </cell>
          <cell r="CU4">
            <v>7.9401929999999998</v>
          </cell>
          <cell r="CV4">
            <v>146.89357100000001</v>
          </cell>
          <cell r="CW4">
            <v>488.32186999999999</v>
          </cell>
          <cell r="CX4">
            <v>516.11254599999995</v>
          </cell>
          <cell r="CY4">
            <v>258.05627299999998</v>
          </cell>
          <cell r="CZ4">
            <v>452.591002</v>
          </cell>
          <cell r="DA4">
            <v>976.64374099999998</v>
          </cell>
          <cell r="DB4">
            <v>51.611255</v>
          </cell>
          <cell r="DC4">
            <v>23.820578999999999</v>
          </cell>
          <cell r="DD4">
            <v>393.03955400000001</v>
          </cell>
          <cell r="DE4">
            <v>1572.1582169999999</v>
          </cell>
          <cell r="DF4">
            <v>1484.816094</v>
          </cell>
          <cell r="DG4">
            <v>651.09582699999999</v>
          </cell>
          <cell r="DH4">
            <v>1341.892619</v>
          </cell>
          <cell r="DI4">
            <v>1758.7527520000001</v>
          </cell>
          <cell r="DJ4">
            <v>87.342123000000001</v>
          </cell>
          <cell r="DK4">
            <v>8</v>
          </cell>
          <cell r="DL4">
            <v>164</v>
          </cell>
          <cell r="DM4">
            <v>352</v>
          </cell>
          <cell r="DN4">
            <v>496</v>
          </cell>
          <cell r="DO4">
            <v>244</v>
          </cell>
          <cell r="DP4">
            <v>432</v>
          </cell>
          <cell r="DQ4">
            <v>704</v>
          </cell>
          <cell r="DR4">
            <v>60</v>
          </cell>
          <cell r="DS4">
            <v>2282.8054910000001</v>
          </cell>
          <cell r="DT4">
            <v>1071.9260569999999</v>
          </cell>
          <cell r="DU4">
            <v>198.50482500000001</v>
          </cell>
          <cell r="DV4">
            <v>51.611255</v>
          </cell>
          <cell r="DW4">
            <v>146.89357100000001</v>
          </cell>
          <cell r="DX4">
            <v>1012.374609</v>
          </cell>
          <cell r="DY4">
            <v>2068</v>
          </cell>
          <cell r="DZ4">
            <v>1140</v>
          </cell>
          <cell r="EA4">
            <v>156</v>
          </cell>
          <cell r="EB4">
            <v>28</v>
          </cell>
          <cell r="EC4">
            <v>128</v>
          </cell>
          <cell r="ED4">
            <v>772</v>
          </cell>
          <cell r="EE4">
            <v>1083.836346</v>
          </cell>
          <cell r="EF4">
            <v>468.47138799999999</v>
          </cell>
          <cell r="EG4">
            <v>563.75370399999997</v>
          </cell>
          <cell r="EH4">
            <v>134.98328100000001</v>
          </cell>
          <cell r="EI4">
            <v>31.760771999999999</v>
          </cell>
          <cell r="EJ4">
            <v>856</v>
          </cell>
          <cell r="EK4">
            <v>452</v>
          </cell>
          <cell r="EL4">
            <v>508</v>
          </cell>
          <cell r="EM4">
            <v>216</v>
          </cell>
          <cell r="EN4">
            <v>36</v>
          </cell>
        </row>
        <row r="5">
          <cell r="A5" t="str">
            <v>37025</v>
          </cell>
          <cell r="B5" t="str">
            <v>Berthenay</v>
          </cell>
          <cell r="C5" t="str">
            <v>Tour(s)plus</v>
          </cell>
          <cell r="D5">
            <v>238.634424</v>
          </cell>
          <cell r="E5">
            <v>27.840682999999999</v>
          </cell>
          <cell r="F5">
            <v>11.931721</v>
          </cell>
          <cell r="G5">
            <v>15.908962000000001</v>
          </cell>
          <cell r="H5">
            <v>3.9772400000000001</v>
          </cell>
          <cell r="I5">
            <v>206.81650099999999</v>
          </cell>
          <cell r="J5">
            <v>83.522047999999998</v>
          </cell>
          <cell r="K5">
            <v>123.29445200000001</v>
          </cell>
          <cell r="L5">
            <v>0</v>
          </cell>
          <cell r="M5">
            <v>220</v>
          </cell>
          <cell r="N5">
            <v>28</v>
          </cell>
          <cell r="O5">
            <v>12</v>
          </cell>
          <cell r="P5">
            <v>16</v>
          </cell>
          <cell r="Q5">
            <v>4</v>
          </cell>
          <cell r="R5">
            <v>188</v>
          </cell>
          <cell r="S5">
            <v>60</v>
          </cell>
          <cell r="T5">
            <v>120</v>
          </cell>
          <cell r="U5">
            <v>8</v>
          </cell>
          <cell r="V5">
            <v>684.08534899999995</v>
          </cell>
          <cell r="W5">
            <v>27.840682999999999</v>
          </cell>
          <cell r="X5">
            <v>11.931721</v>
          </cell>
          <cell r="Y5">
            <v>15.908962000000001</v>
          </cell>
          <cell r="Z5">
            <v>7.9544810000000004</v>
          </cell>
          <cell r="AA5">
            <v>648.29018499999995</v>
          </cell>
          <cell r="AB5">
            <v>171.02133699999999</v>
          </cell>
          <cell r="AC5">
            <v>477.26884799999999</v>
          </cell>
          <cell r="AD5">
            <v>0</v>
          </cell>
          <cell r="AE5">
            <v>688</v>
          </cell>
          <cell r="AF5">
            <v>28</v>
          </cell>
          <cell r="AG5">
            <v>12</v>
          </cell>
          <cell r="AH5">
            <v>16</v>
          </cell>
          <cell r="AI5">
            <v>12</v>
          </cell>
          <cell r="AJ5">
            <v>648</v>
          </cell>
          <cell r="AK5">
            <v>124</v>
          </cell>
          <cell r="AL5">
            <v>496</v>
          </cell>
          <cell r="AM5">
            <v>28</v>
          </cell>
          <cell r="AN5">
            <v>239.62873400000001</v>
          </cell>
          <cell r="AO5">
            <v>699</v>
          </cell>
          <cell r="AP5">
            <v>219</v>
          </cell>
          <cell r="AQ5">
            <v>671</v>
          </cell>
          <cell r="AR5">
            <v>178</v>
          </cell>
          <cell r="AS5">
            <v>564</v>
          </cell>
          <cell r="AT5">
            <v>123</v>
          </cell>
          <cell r="AU5">
            <v>342</v>
          </cell>
          <cell r="AV5">
            <v>108</v>
          </cell>
          <cell r="AW5">
            <v>317</v>
          </cell>
          <cell r="AX5">
            <v>106</v>
          </cell>
          <cell r="AY5">
            <v>340</v>
          </cell>
          <cell r="AZ5">
            <v>542.89331400000003</v>
          </cell>
          <cell r="BA5">
            <v>58.664296</v>
          </cell>
          <cell r="BB5">
            <v>30.823613000000002</v>
          </cell>
          <cell r="BC5">
            <v>119.317212</v>
          </cell>
          <cell r="BD5">
            <v>198.86202</v>
          </cell>
          <cell r="BE5">
            <v>60.652915999999998</v>
          </cell>
          <cell r="BF5">
            <v>46.732574999999997</v>
          </cell>
          <cell r="BG5">
            <v>27.840682999999999</v>
          </cell>
          <cell r="BH5">
            <v>58.664296</v>
          </cell>
          <cell r="BI5">
            <v>30.823613000000002</v>
          </cell>
          <cell r="BJ5">
            <v>119.317212</v>
          </cell>
          <cell r="BK5">
            <v>198.86202</v>
          </cell>
          <cell r="BL5">
            <v>60.652915999999998</v>
          </cell>
          <cell r="BM5">
            <v>46.732574999999997</v>
          </cell>
          <cell r="BN5">
            <v>27.840682999999999</v>
          </cell>
          <cell r="BO5">
            <v>0</v>
          </cell>
          <cell r="BP5">
            <v>0</v>
          </cell>
          <cell r="BQ5">
            <v>2.9829300000000001</v>
          </cell>
          <cell r="BR5">
            <v>6.9601709999999999</v>
          </cell>
          <cell r="BS5">
            <v>5.9658610000000003</v>
          </cell>
          <cell r="BT5">
            <v>3.9772400000000001</v>
          </cell>
          <cell r="BU5">
            <v>5.9658610000000003</v>
          </cell>
          <cell r="BV5">
            <v>0</v>
          </cell>
          <cell r="BW5">
            <v>6.9601709999999999</v>
          </cell>
          <cell r="BX5">
            <v>102.41394</v>
          </cell>
          <cell r="BY5">
            <v>178.975818</v>
          </cell>
          <cell r="BZ5">
            <v>51.704124999999998</v>
          </cell>
          <cell r="CA5">
            <v>41.761023999999999</v>
          </cell>
          <cell r="CB5">
            <v>16.903272000000001</v>
          </cell>
          <cell r="CC5">
            <v>49</v>
          </cell>
          <cell r="CD5">
            <v>28</v>
          </cell>
          <cell r="CE5">
            <v>151</v>
          </cell>
          <cell r="CF5">
            <v>159</v>
          </cell>
          <cell r="CG5">
            <v>38</v>
          </cell>
          <cell r="CH5">
            <v>47</v>
          </cell>
          <cell r="CI5">
            <v>17</v>
          </cell>
          <cell r="CJ5">
            <v>0</v>
          </cell>
          <cell r="CK5">
            <v>0</v>
          </cell>
          <cell r="CL5">
            <v>7</v>
          </cell>
          <cell r="CM5">
            <v>7</v>
          </cell>
          <cell r="CN5">
            <v>6</v>
          </cell>
          <cell r="CO5">
            <v>5</v>
          </cell>
          <cell r="CP5">
            <v>4</v>
          </cell>
          <cell r="CQ5">
            <v>318.17923200000001</v>
          </cell>
          <cell r="CR5">
            <v>183.94736800000001</v>
          </cell>
          <cell r="CS5">
            <v>16.903272000000001</v>
          </cell>
          <cell r="CT5">
            <v>23.863441999999999</v>
          </cell>
          <cell r="CU5">
            <v>7.9544810000000004</v>
          </cell>
          <cell r="CV5">
            <v>31.817923</v>
          </cell>
          <cell r="CW5">
            <v>35.795164</v>
          </cell>
          <cell r="CX5">
            <v>31.817923</v>
          </cell>
          <cell r="CY5">
            <v>0</v>
          </cell>
          <cell r="CZ5">
            <v>55.681365999999997</v>
          </cell>
          <cell r="DA5">
            <v>75.567567999999994</v>
          </cell>
          <cell r="DB5">
            <v>0</v>
          </cell>
          <cell r="DC5">
            <v>27.840682999999999</v>
          </cell>
          <cell r="DD5">
            <v>99.431010000000001</v>
          </cell>
          <cell r="DE5">
            <v>107.385491</v>
          </cell>
          <cell r="DF5">
            <v>111.362731</v>
          </cell>
          <cell r="DG5">
            <v>0</v>
          </cell>
          <cell r="DH5">
            <v>194.88478000000001</v>
          </cell>
          <cell r="DI5">
            <v>143.180654</v>
          </cell>
          <cell r="DJ5">
            <v>0</v>
          </cell>
          <cell r="DK5">
            <v>8</v>
          </cell>
          <cell r="DL5">
            <v>12</v>
          </cell>
          <cell r="DM5">
            <v>28</v>
          </cell>
          <cell r="DN5">
            <v>40</v>
          </cell>
          <cell r="DO5">
            <v>20</v>
          </cell>
          <cell r="DP5">
            <v>52</v>
          </cell>
          <cell r="DQ5">
            <v>52</v>
          </cell>
          <cell r="DR5">
            <v>8</v>
          </cell>
          <cell r="DS5">
            <v>206.81650099999999</v>
          </cell>
          <cell r="DT5">
            <v>123.29445200000001</v>
          </cell>
          <cell r="DU5">
            <v>0</v>
          </cell>
          <cell r="DV5">
            <v>0</v>
          </cell>
          <cell r="DW5">
            <v>0</v>
          </cell>
          <cell r="DX5">
            <v>83.522047999999998</v>
          </cell>
          <cell r="DY5">
            <v>188</v>
          </cell>
          <cell r="DZ5">
            <v>120</v>
          </cell>
          <cell r="EA5">
            <v>8</v>
          </cell>
          <cell r="EB5">
            <v>0</v>
          </cell>
          <cell r="EC5">
            <v>8</v>
          </cell>
          <cell r="ED5">
            <v>60</v>
          </cell>
          <cell r="EE5">
            <v>87.499289000000005</v>
          </cell>
          <cell r="EF5">
            <v>43.749644000000004</v>
          </cell>
          <cell r="EG5">
            <v>47.726885000000003</v>
          </cell>
          <cell r="EH5">
            <v>27.840682999999999</v>
          </cell>
          <cell r="EI5">
            <v>0</v>
          </cell>
          <cell r="EJ5">
            <v>68</v>
          </cell>
          <cell r="EK5">
            <v>20</v>
          </cell>
          <cell r="EL5">
            <v>64</v>
          </cell>
          <cell r="EM5">
            <v>32</v>
          </cell>
          <cell r="EN5">
            <v>4</v>
          </cell>
        </row>
        <row r="6">
          <cell r="A6" t="str">
            <v>37050</v>
          </cell>
          <cell r="B6" t="str">
            <v>Chambray-lès-Tours</v>
          </cell>
          <cell r="C6" t="str">
            <v>Tour(s)plus</v>
          </cell>
          <cell r="D6">
            <v>4821.9333399999996</v>
          </cell>
          <cell r="E6">
            <v>1758.320385</v>
          </cell>
          <cell r="F6">
            <v>686.451505</v>
          </cell>
          <cell r="G6">
            <v>1071.86888</v>
          </cell>
          <cell r="H6">
            <v>110.998705</v>
          </cell>
          <cell r="I6">
            <v>2952.6142500000001</v>
          </cell>
          <cell r="J6">
            <v>1455.560387</v>
          </cell>
          <cell r="K6">
            <v>1237.7740980000001</v>
          </cell>
          <cell r="L6">
            <v>259.279765</v>
          </cell>
          <cell r="M6">
            <v>4432</v>
          </cell>
          <cell r="N6">
            <v>1436</v>
          </cell>
          <cell r="O6">
            <v>612</v>
          </cell>
          <cell r="P6">
            <v>824</v>
          </cell>
          <cell r="Q6">
            <v>52</v>
          </cell>
          <cell r="R6">
            <v>2944</v>
          </cell>
          <cell r="S6">
            <v>1272</v>
          </cell>
          <cell r="T6">
            <v>1372</v>
          </cell>
          <cell r="U6">
            <v>300</v>
          </cell>
          <cell r="V6">
            <v>10375.651862000001</v>
          </cell>
          <cell r="W6">
            <v>1758.320385</v>
          </cell>
          <cell r="X6">
            <v>686.451505</v>
          </cell>
          <cell r="Y6">
            <v>1071.86888</v>
          </cell>
          <cell r="Z6">
            <v>237.05449999999999</v>
          </cell>
          <cell r="AA6">
            <v>8380.2769769999995</v>
          </cell>
          <cell r="AB6">
            <v>2967.523146</v>
          </cell>
          <cell r="AC6">
            <v>4691.4359789999999</v>
          </cell>
          <cell r="AD6">
            <v>721.31785200000002</v>
          </cell>
          <cell r="AE6">
            <v>10124</v>
          </cell>
          <cell r="AF6">
            <v>1436</v>
          </cell>
          <cell r="AG6">
            <v>612</v>
          </cell>
          <cell r="AH6">
            <v>824</v>
          </cell>
          <cell r="AI6">
            <v>108</v>
          </cell>
          <cell r="AJ6">
            <v>8580</v>
          </cell>
          <cell r="AK6">
            <v>2572</v>
          </cell>
          <cell r="AL6">
            <v>5240</v>
          </cell>
          <cell r="AM6">
            <v>768</v>
          </cell>
          <cell r="AN6">
            <v>4824.9333399999996</v>
          </cell>
          <cell r="AO6">
            <v>10379.651862000001</v>
          </cell>
          <cell r="AP6">
            <v>4429</v>
          </cell>
          <cell r="AQ6">
            <v>10129</v>
          </cell>
          <cell r="AR6">
            <v>3347</v>
          </cell>
          <cell r="AS6">
            <v>8073</v>
          </cell>
          <cell r="AT6">
            <v>2810</v>
          </cell>
          <cell r="AU6">
            <v>7336</v>
          </cell>
          <cell r="AV6">
            <v>2030</v>
          </cell>
          <cell r="AW6">
            <v>5613</v>
          </cell>
          <cell r="AX6">
            <v>912</v>
          </cell>
          <cell r="AY6">
            <v>3045</v>
          </cell>
          <cell r="AZ6">
            <v>8822.4860540000009</v>
          </cell>
          <cell r="BA6">
            <v>714.64970900000003</v>
          </cell>
          <cell r="BB6">
            <v>895.25969799999996</v>
          </cell>
          <cell r="BC6">
            <v>2023.3985049999999</v>
          </cell>
          <cell r="BD6">
            <v>2274.3000499999998</v>
          </cell>
          <cell r="BE6">
            <v>1210.684297</v>
          </cell>
          <cell r="BF6">
            <v>1247.055443</v>
          </cell>
          <cell r="BG6">
            <v>457.138353</v>
          </cell>
          <cell r="BH6">
            <v>695.64970900000003</v>
          </cell>
          <cell r="BI6">
            <v>894.25969799999996</v>
          </cell>
          <cell r="BJ6">
            <v>2022.3985049999999</v>
          </cell>
          <cell r="BK6">
            <v>2273.3000499999998</v>
          </cell>
          <cell r="BL6">
            <v>1207.684297</v>
          </cell>
          <cell r="BM6">
            <v>1222.055443</v>
          </cell>
          <cell r="BN6">
            <v>361.138353</v>
          </cell>
          <cell r="BO6">
            <v>43.057045000000002</v>
          </cell>
          <cell r="BP6">
            <v>369.70142499999997</v>
          </cell>
          <cell r="BQ6">
            <v>435.142765</v>
          </cell>
          <cell r="BR6">
            <v>318.59079300000002</v>
          </cell>
          <cell r="BS6">
            <v>190.48679799999999</v>
          </cell>
          <cell r="BT6">
            <v>251.890005</v>
          </cell>
          <cell r="BU6">
            <v>151.45155299999999</v>
          </cell>
          <cell r="BV6">
            <v>14.003926</v>
          </cell>
          <cell r="BW6">
            <v>238.42054200000001</v>
          </cell>
          <cell r="BX6">
            <v>1414.2910119999999</v>
          </cell>
          <cell r="BY6">
            <v>1766.0489789999999</v>
          </cell>
          <cell r="BZ6">
            <v>983.09226999999998</v>
          </cell>
          <cell r="CA6">
            <v>912.19948999999997</v>
          </cell>
          <cell r="CB6">
            <v>186.915392</v>
          </cell>
          <cell r="CC6">
            <v>642</v>
          </cell>
          <cell r="CD6">
            <v>881</v>
          </cell>
          <cell r="CE6">
            <v>2453</v>
          </cell>
          <cell r="CF6">
            <v>2089</v>
          </cell>
          <cell r="CG6">
            <v>871</v>
          </cell>
          <cell r="CH6">
            <v>1070</v>
          </cell>
          <cell r="CI6">
            <v>244</v>
          </cell>
          <cell r="CJ6">
            <v>59</v>
          </cell>
          <cell r="CK6">
            <v>303</v>
          </cell>
          <cell r="CL6">
            <v>433</v>
          </cell>
          <cell r="CM6">
            <v>205</v>
          </cell>
          <cell r="CN6">
            <v>117</v>
          </cell>
          <cell r="CO6">
            <v>216</v>
          </cell>
          <cell r="CP6">
            <v>103</v>
          </cell>
          <cell r="CQ6">
            <v>4295.7132469999997</v>
          </cell>
          <cell r="CR6">
            <v>3211.1765820000001</v>
          </cell>
          <cell r="CS6">
            <v>555.31431299999997</v>
          </cell>
          <cell r="CT6">
            <v>760.28191200000003</v>
          </cell>
          <cell r="CU6">
            <v>4.7556000000000003</v>
          </cell>
          <cell r="CV6">
            <v>165.258532</v>
          </cell>
          <cell r="CW6">
            <v>697.26800200000002</v>
          </cell>
          <cell r="CX6">
            <v>895.39928899999995</v>
          </cell>
          <cell r="CY6">
            <v>636.64256499999999</v>
          </cell>
          <cell r="CZ6">
            <v>704.73868000000004</v>
          </cell>
          <cell r="DA6">
            <v>1338.0447690000001</v>
          </cell>
          <cell r="DB6">
            <v>379.82590299999998</v>
          </cell>
          <cell r="DC6">
            <v>5.7660770000000001</v>
          </cell>
          <cell r="DD6">
            <v>450.48882200000003</v>
          </cell>
          <cell r="DE6">
            <v>2058.2014989999998</v>
          </cell>
          <cell r="DF6">
            <v>2073.6488060000001</v>
          </cell>
          <cell r="DG6">
            <v>1273.021013</v>
          </cell>
          <cell r="DH6">
            <v>1686.476913</v>
          </cell>
          <cell r="DI6">
            <v>2273.0042410000001</v>
          </cell>
          <cell r="DJ6">
            <v>555.04449</v>
          </cell>
          <cell r="DK6">
            <v>8</v>
          </cell>
          <cell r="DL6">
            <v>228</v>
          </cell>
          <cell r="DM6">
            <v>500</v>
          </cell>
          <cell r="DN6">
            <v>872</v>
          </cell>
          <cell r="DO6">
            <v>584</v>
          </cell>
          <cell r="DP6">
            <v>740</v>
          </cell>
          <cell r="DQ6">
            <v>1100</v>
          </cell>
          <cell r="DR6">
            <v>400</v>
          </cell>
          <cell r="DS6">
            <v>2965.477386</v>
          </cell>
          <cell r="DT6">
            <v>1237.7740980000001</v>
          </cell>
          <cell r="DU6">
            <v>262.87546600000002</v>
          </cell>
          <cell r="DV6">
            <v>25.754242999999999</v>
          </cell>
          <cell r="DW6">
            <v>237.12122299999999</v>
          </cell>
          <cell r="DX6">
            <v>1464.8278210000001</v>
          </cell>
          <cell r="DY6">
            <v>2952</v>
          </cell>
          <cell r="DZ6">
            <v>1372</v>
          </cell>
          <cell r="EA6">
            <v>304</v>
          </cell>
          <cell r="EB6">
            <v>16</v>
          </cell>
          <cell r="EC6">
            <v>288</v>
          </cell>
          <cell r="ED6">
            <v>1276</v>
          </cell>
          <cell r="EE6">
            <v>1552.3717349999999</v>
          </cell>
          <cell r="EF6">
            <v>587.84196599999996</v>
          </cell>
          <cell r="EG6">
            <v>594.48872800000004</v>
          </cell>
          <cell r="EH6">
            <v>182.26947999999999</v>
          </cell>
          <cell r="EI6">
            <v>48.505476999999999</v>
          </cell>
          <cell r="EJ6">
            <v>1416</v>
          </cell>
          <cell r="EK6">
            <v>648</v>
          </cell>
          <cell r="EL6">
            <v>672</v>
          </cell>
          <cell r="EM6">
            <v>180</v>
          </cell>
          <cell r="EN6">
            <v>36</v>
          </cell>
        </row>
        <row r="7">
          <cell r="A7" t="str">
            <v>37052</v>
          </cell>
          <cell r="B7" t="str">
            <v>Chançay</v>
          </cell>
          <cell r="C7" t="str">
            <v>Vouvrillon</v>
          </cell>
          <cell r="D7">
            <v>396</v>
          </cell>
          <cell r="E7">
            <v>92</v>
          </cell>
          <cell r="F7">
            <v>36</v>
          </cell>
          <cell r="G7">
            <v>56</v>
          </cell>
          <cell r="H7">
            <v>0</v>
          </cell>
          <cell r="I7">
            <v>304</v>
          </cell>
          <cell r="J7">
            <v>140</v>
          </cell>
          <cell r="K7">
            <v>156</v>
          </cell>
          <cell r="L7">
            <v>8</v>
          </cell>
          <cell r="M7">
            <v>364</v>
          </cell>
          <cell r="N7">
            <v>64</v>
          </cell>
          <cell r="O7">
            <v>24</v>
          </cell>
          <cell r="P7">
            <v>40</v>
          </cell>
          <cell r="Q7">
            <v>4</v>
          </cell>
          <cell r="R7">
            <v>296</v>
          </cell>
          <cell r="S7">
            <v>96</v>
          </cell>
          <cell r="T7">
            <v>168</v>
          </cell>
          <cell r="U7">
            <v>32</v>
          </cell>
          <cell r="V7">
            <v>980</v>
          </cell>
          <cell r="W7">
            <v>92</v>
          </cell>
          <cell r="X7">
            <v>36</v>
          </cell>
          <cell r="Y7">
            <v>56</v>
          </cell>
          <cell r="Z7">
            <v>0</v>
          </cell>
          <cell r="AA7">
            <v>888</v>
          </cell>
          <cell r="AB7">
            <v>288</v>
          </cell>
          <cell r="AC7">
            <v>576</v>
          </cell>
          <cell r="AD7">
            <v>24</v>
          </cell>
          <cell r="AE7">
            <v>1000</v>
          </cell>
          <cell r="AF7">
            <v>64</v>
          </cell>
          <cell r="AG7">
            <v>24</v>
          </cell>
          <cell r="AH7">
            <v>40</v>
          </cell>
          <cell r="AI7">
            <v>8</v>
          </cell>
          <cell r="AJ7">
            <v>928</v>
          </cell>
          <cell r="AK7">
            <v>192</v>
          </cell>
          <cell r="AL7">
            <v>644</v>
          </cell>
          <cell r="AM7">
            <v>92</v>
          </cell>
          <cell r="AN7">
            <v>399</v>
          </cell>
          <cell r="AO7">
            <v>989</v>
          </cell>
          <cell r="AP7">
            <v>361</v>
          </cell>
          <cell r="AQ7">
            <v>945</v>
          </cell>
          <cell r="AR7">
            <v>309</v>
          </cell>
          <cell r="AS7">
            <v>889</v>
          </cell>
          <cell r="AT7">
            <v>283</v>
          </cell>
          <cell r="AU7">
            <v>811</v>
          </cell>
          <cell r="AV7">
            <v>206</v>
          </cell>
          <cell r="AW7">
            <v>597</v>
          </cell>
          <cell r="AX7">
            <v>208</v>
          </cell>
          <cell r="AY7">
            <v>578</v>
          </cell>
          <cell r="AZ7">
            <v>811</v>
          </cell>
          <cell r="BA7">
            <v>65</v>
          </cell>
          <cell r="BB7">
            <v>51</v>
          </cell>
          <cell r="BC7">
            <v>203</v>
          </cell>
          <cell r="BD7">
            <v>242</v>
          </cell>
          <cell r="BE7">
            <v>108</v>
          </cell>
          <cell r="BF7">
            <v>104</v>
          </cell>
          <cell r="BG7">
            <v>38</v>
          </cell>
          <cell r="BH7">
            <v>63</v>
          </cell>
          <cell r="BI7">
            <v>50</v>
          </cell>
          <cell r="BJ7">
            <v>202</v>
          </cell>
          <cell r="BK7">
            <v>237</v>
          </cell>
          <cell r="BL7">
            <v>108</v>
          </cell>
          <cell r="BM7">
            <v>103</v>
          </cell>
          <cell r="BN7">
            <v>38</v>
          </cell>
          <cell r="BO7">
            <v>1</v>
          </cell>
          <cell r="BP7">
            <v>2</v>
          </cell>
          <cell r="BQ7">
            <v>17</v>
          </cell>
          <cell r="BR7">
            <v>20</v>
          </cell>
          <cell r="BS7">
            <v>13</v>
          </cell>
          <cell r="BT7">
            <v>24</v>
          </cell>
          <cell r="BU7">
            <v>15</v>
          </cell>
          <cell r="BV7">
            <v>2</v>
          </cell>
          <cell r="BW7">
            <v>12</v>
          </cell>
          <cell r="BX7">
            <v>167</v>
          </cell>
          <cell r="BY7">
            <v>197</v>
          </cell>
          <cell r="BZ7">
            <v>88</v>
          </cell>
          <cell r="CA7">
            <v>70</v>
          </cell>
          <cell r="CB7">
            <v>21</v>
          </cell>
          <cell r="CC7">
            <v>65</v>
          </cell>
          <cell r="CD7">
            <v>43</v>
          </cell>
          <cell r="CE7">
            <v>216</v>
          </cell>
          <cell r="CF7">
            <v>205</v>
          </cell>
          <cell r="CG7">
            <v>72</v>
          </cell>
          <cell r="CH7">
            <v>126</v>
          </cell>
          <cell r="CI7">
            <v>23</v>
          </cell>
          <cell r="CJ7">
            <v>0</v>
          </cell>
          <cell r="CK7">
            <v>3</v>
          </cell>
          <cell r="CL7">
            <v>11</v>
          </cell>
          <cell r="CM7">
            <v>16</v>
          </cell>
          <cell r="CN7">
            <v>10</v>
          </cell>
          <cell r="CO7">
            <v>26</v>
          </cell>
          <cell r="CP7">
            <v>9</v>
          </cell>
          <cell r="CQ7">
            <v>455</v>
          </cell>
          <cell r="CR7">
            <v>262</v>
          </cell>
          <cell r="CS7">
            <v>48</v>
          </cell>
          <cell r="CT7">
            <v>46</v>
          </cell>
          <cell r="CU7">
            <v>48</v>
          </cell>
          <cell r="CV7">
            <v>12</v>
          </cell>
          <cell r="CW7">
            <v>32</v>
          </cell>
          <cell r="CX7">
            <v>84</v>
          </cell>
          <cell r="CY7">
            <v>24</v>
          </cell>
          <cell r="CZ7">
            <v>60</v>
          </cell>
          <cell r="DA7">
            <v>128</v>
          </cell>
          <cell r="DB7">
            <v>8</v>
          </cell>
          <cell r="DC7">
            <v>144</v>
          </cell>
          <cell r="DD7">
            <v>32</v>
          </cell>
          <cell r="DE7">
            <v>84</v>
          </cell>
          <cell r="DF7">
            <v>236</v>
          </cell>
          <cell r="DG7">
            <v>60</v>
          </cell>
          <cell r="DH7">
            <v>168</v>
          </cell>
          <cell r="DI7">
            <v>228</v>
          </cell>
          <cell r="DJ7">
            <v>28</v>
          </cell>
          <cell r="DK7">
            <v>32</v>
          </cell>
          <cell r="DL7">
            <v>20</v>
          </cell>
          <cell r="DM7">
            <v>20</v>
          </cell>
          <cell r="DN7">
            <v>52</v>
          </cell>
          <cell r="DO7">
            <v>32</v>
          </cell>
          <cell r="DP7">
            <v>84</v>
          </cell>
          <cell r="DQ7">
            <v>116</v>
          </cell>
          <cell r="DR7">
            <v>8</v>
          </cell>
          <cell r="DS7">
            <v>308</v>
          </cell>
          <cell r="DT7">
            <v>156</v>
          </cell>
          <cell r="DU7">
            <v>12</v>
          </cell>
          <cell r="DV7">
            <v>4</v>
          </cell>
          <cell r="DW7">
            <v>8</v>
          </cell>
          <cell r="DX7">
            <v>140</v>
          </cell>
          <cell r="DY7">
            <v>296</v>
          </cell>
          <cell r="DZ7">
            <v>168</v>
          </cell>
          <cell r="EA7">
            <v>32</v>
          </cell>
          <cell r="EB7">
            <v>4</v>
          </cell>
          <cell r="EC7">
            <v>28</v>
          </cell>
          <cell r="ED7">
            <v>96</v>
          </cell>
          <cell r="EE7">
            <v>156</v>
          </cell>
          <cell r="EF7">
            <v>68</v>
          </cell>
          <cell r="EG7">
            <v>72</v>
          </cell>
          <cell r="EH7">
            <v>12</v>
          </cell>
          <cell r="EI7">
            <v>0</v>
          </cell>
          <cell r="EJ7">
            <v>120</v>
          </cell>
          <cell r="EK7">
            <v>64</v>
          </cell>
          <cell r="EL7">
            <v>76</v>
          </cell>
          <cell r="EM7">
            <v>32</v>
          </cell>
          <cell r="EN7">
            <v>4</v>
          </cell>
        </row>
        <row r="8">
          <cell r="A8" t="str">
            <v>37054</v>
          </cell>
          <cell r="B8" t="str">
            <v>Chanceaux-sur-Choisille</v>
          </cell>
          <cell r="C8" t="str">
            <v>Vouvrillon</v>
          </cell>
          <cell r="D8">
            <v>1215.139496</v>
          </cell>
          <cell r="E8">
            <v>163.576471</v>
          </cell>
          <cell r="F8">
            <v>81.788235</v>
          </cell>
          <cell r="G8">
            <v>81.788235</v>
          </cell>
          <cell r="H8">
            <v>11.684034</v>
          </cell>
          <cell r="I8">
            <v>1039.8789919999999</v>
          </cell>
          <cell r="J8">
            <v>377.78375399999999</v>
          </cell>
          <cell r="K8">
            <v>584.20168100000001</v>
          </cell>
          <cell r="L8">
            <v>77.893557000000001</v>
          </cell>
          <cell r="M8">
            <v>928</v>
          </cell>
          <cell r="N8">
            <v>112</v>
          </cell>
          <cell r="O8">
            <v>56</v>
          </cell>
          <cell r="P8">
            <v>56</v>
          </cell>
          <cell r="Q8">
            <v>4</v>
          </cell>
          <cell r="R8">
            <v>812</v>
          </cell>
          <cell r="S8">
            <v>224</v>
          </cell>
          <cell r="T8">
            <v>544</v>
          </cell>
          <cell r="U8">
            <v>44</v>
          </cell>
          <cell r="V8">
            <v>3462.3686269999998</v>
          </cell>
          <cell r="W8">
            <v>163.576471</v>
          </cell>
          <cell r="X8">
            <v>81.788235</v>
          </cell>
          <cell r="Y8">
            <v>81.788235</v>
          </cell>
          <cell r="Z8">
            <v>35.052101</v>
          </cell>
          <cell r="AA8">
            <v>3263.7400560000001</v>
          </cell>
          <cell r="AB8">
            <v>786.72492999999997</v>
          </cell>
          <cell r="AC8">
            <v>2255.0184869999998</v>
          </cell>
          <cell r="AD8">
            <v>221.99663899999999</v>
          </cell>
          <cell r="AE8">
            <v>2868</v>
          </cell>
          <cell r="AF8">
            <v>112</v>
          </cell>
          <cell r="AG8">
            <v>56</v>
          </cell>
          <cell r="AH8">
            <v>56</v>
          </cell>
          <cell r="AI8">
            <v>8</v>
          </cell>
          <cell r="AJ8">
            <v>2748</v>
          </cell>
          <cell r="AK8">
            <v>460</v>
          </cell>
          <cell r="AL8">
            <v>2172</v>
          </cell>
          <cell r="AM8">
            <v>116</v>
          </cell>
          <cell r="AN8">
            <v>1214.1658259999999</v>
          </cell>
          <cell r="AO8">
            <v>3476</v>
          </cell>
          <cell r="AP8">
            <v>923</v>
          </cell>
          <cell r="AQ8">
            <v>2819</v>
          </cell>
          <cell r="AR8">
            <v>766</v>
          </cell>
          <cell r="AS8">
            <v>2599</v>
          </cell>
          <cell r="AT8">
            <v>530</v>
          </cell>
          <cell r="AU8">
            <v>1797</v>
          </cell>
          <cell r="AV8">
            <v>274</v>
          </cell>
          <cell r="AW8">
            <v>956</v>
          </cell>
          <cell r="AX8">
            <v>200</v>
          </cell>
          <cell r="AY8">
            <v>666</v>
          </cell>
          <cell r="AZ8">
            <v>2658.1966389999998</v>
          </cell>
          <cell r="BA8">
            <v>259.96974799999998</v>
          </cell>
          <cell r="BB8">
            <v>147.997759</v>
          </cell>
          <cell r="BC8">
            <v>703.04201699999999</v>
          </cell>
          <cell r="BD8">
            <v>905.53893600000004</v>
          </cell>
          <cell r="BE8">
            <v>399.20448199999998</v>
          </cell>
          <cell r="BF8">
            <v>196.68123199999999</v>
          </cell>
          <cell r="BG8">
            <v>45.762464999999999</v>
          </cell>
          <cell r="BH8">
            <v>259.96974799999998</v>
          </cell>
          <cell r="BI8">
            <v>147.997759</v>
          </cell>
          <cell r="BJ8">
            <v>701.04201699999999</v>
          </cell>
          <cell r="BK8">
            <v>904.53893600000004</v>
          </cell>
          <cell r="BL8">
            <v>399.20448199999998</v>
          </cell>
          <cell r="BM8">
            <v>196.68123199999999</v>
          </cell>
          <cell r="BN8">
            <v>45.762464999999999</v>
          </cell>
          <cell r="BO8">
            <v>0</v>
          </cell>
          <cell r="BP8">
            <v>4.868347</v>
          </cell>
          <cell r="BQ8">
            <v>24.341736999999998</v>
          </cell>
          <cell r="BR8">
            <v>41.867787</v>
          </cell>
          <cell r="BS8">
            <v>40.894117999999999</v>
          </cell>
          <cell r="BT8">
            <v>26.289076000000001</v>
          </cell>
          <cell r="BU8">
            <v>22.394397999999999</v>
          </cell>
          <cell r="BV8">
            <v>3.8946779999999999</v>
          </cell>
          <cell r="BW8">
            <v>31.157423000000001</v>
          </cell>
          <cell r="BX8">
            <v>614.38543400000003</v>
          </cell>
          <cell r="BY8">
            <v>807.19831899999997</v>
          </cell>
          <cell r="BZ8">
            <v>349.54733900000002</v>
          </cell>
          <cell r="CA8">
            <v>160.655462</v>
          </cell>
          <cell r="CB8">
            <v>21.420728</v>
          </cell>
          <cell r="CC8">
            <v>247</v>
          </cell>
          <cell r="CD8">
            <v>140</v>
          </cell>
          <cell r="CE8">
            <v>611</v>
          </cell>
          <cell r="CF8">
            <v>780</v>
          </cell>
          <cell r="CG8">
            <v>217</v>
          </cell>
          <cell r="CH8">
            <v>129</v>
          </cell>
          <cell r="CI8">
            <v>34</v>
          </cell>
          <cell r="CJ8">
            <v>1</v>
          </cell>
          <cell r="CK8">
            <v>5</v>
          </cell>
          <cell r="CL8">
            <v>23</v>
          </cell>
          <cell r="CM8">
            <v>25</v>
          </cell>
          <cell r="CN8">
            <v>16</v>
          </cell>
          <cell r="CO8">
            <v>27</v>
          </cell>
          <cell r="CP8">
            <v>12</v>
          </cell>
          <cell r="CQ8">
            <v>1637.7383749999999</v>
          </cell>
          <cell r="CR8">
            <v>782.88291300000003</v>
          </cell>
          <cell r="CS8">
            <v>90.551260999999997</v>
          </cell>
          <cell r="CT8">
            <v>147.02409</v>
          </cell>
          <cell r="CU8">
            <v>0</v>
          </cell>
          <cell r="CV8">
            <v>58.420167999999997</v>
          </cell>
          <cell r="CW8">
            <v>147.997759</v>
          </cell>
          <cell r="CX8">
            <v>299.890196</v>
          </cell>
          <cell r="CY8">
            <v>116.84033599999999</v>
          </cell>
          <cell r="CZ8">
            <v>303.784874</v>
          </cell>
          <cell r="DA8">
            <v>257.04873900000001</v>
          </cell>
          <cell r="DB8">
            <v>31.157423000000001</v>
          </cell>
          <cell r="DC8">
            <v>0</v>
          </cell>
          <cell r="DD8">
            <v>186.94453799999999</v>
          </cell>
          <cell r="DE8">
            <v>455.67731099999997</v>
          </cell>
          <cell r="DF8">
            <v>969.77479000000005</v>
          </cell>
          <cell r="DG8">
            <v>342.73165299999999</v>
          </cell>
          <cell r="DH8">
            <v>930.82801099999995</v>
          </cell>
          <cell r="DI8">
            <v>521.88683500000002</v>
          </cell>
          <cell r="DJ8">
            <v>54.525489999999998</v>
          </cell>
          <cell r="DK8">
            <v>12</v>
          </cell>
          <cell r="DL8">
            <v>44</v>
          </cell>
          <cell r="DM8">
            <v>88</v>
          </cell>
          <cell r="DN8">
            <v>200</v>
          </cell>
          <cell r="DO8">
            <v>104</v>
          </cell>
          <cell r="DP8">
            <v>280</v>
          </cell>
          <cell r="DQ8">
            <v>168</v>
          </cell>
          <cell r="DR8">
            <v>32</v>
          </cell>
          <cell r="DS8">
            <v>1047.668347</v>
          </cell>
          <cell r="DT8">
            <v>584.20168100000001</v>
          </cell>
          <cell r="DU8">
            <v>81.788235</v>
          </cell>
          <cell r="DV8">
            <v>11.684034</v>
          </cell>
          <cell r="DW8">
            <v>70.104202000000001</v>
          </cell>
          <cell r="DX8">
            <v>381.67843099999999</v>
          </cell>
          <cell r="DY8">
            <v>816</v>
          </cell>
          <cell r="DZ8">
            <v>544</v>
          </cell>
          <cell r="EA8">
            <v>48</v>
          </cell>
          <cell r="EB8">
            <v>12</v>
          </cell>
          <cell r="EC8">
            <v>36</v>
          </cell>
          <cell r="ED8">
            <v>224</v>
          </cell>
          <cell r="EE8">
            <v>424.51988799999998</v>
          </cell>
          <cell r="EF8">
            <v>202.52324899999999</v>
          </cell>
          <cell r="EG8">
            <v>307.679552</v>
          </cell>
          <cell r="EH8">
            <v>101.261625</v>
          </cell>
          <cell r="EI8">
            <v>11.684034</v>
          </cell>
          <cell r="EJ8">
            <v>268</v>
          </cell>
          <cell r="EK8">
            <v>196</v>
          </cell>
          <cell r="EL8">
            <v>220</v>
          </cell>
          <cell r="EM8">
            <v>108</v>
          </cell>
          <cell r="EN8">
            <v>24</v>
          </cell>
        </row>
        <row r="9">
          <cell r="A9" t="str">
            <v>37099</v>
          </cell>
          <cell r="B9" t="str">
            <v>Druye</v>
          </cell>
          <cell r="C9" t="str">
            <v>Tour(s)plus</v>
          </cell>
          <cell r="D9">
            <v>294.05005999999997</v>
          </cell>
          <cell r="E9">
            <v>42.007151</v>
          </cell>
          <cell r="F9">
            <v>26.731824</v>
          </cell>
          <cell r="G9">
            <v>15.275328</v>
          </cell>
          <cell r="H9">
            <v>7.637664</v>
          </cell>
          <cell r="I9">
            <v>244.40524400000001</v>
          </cell>
          <cell r="J9">
            <v>103.108462</v>
          </cell>
          <cell r="K9">
            <v>129.84028599999999</v>
          </cell>
          <cell r="L9">
            <v>11.456496</v>
          </cell>
          <cell r="M9">
            <v>236</v>
          </cell>
          <cell r="N9">
            <v>32</v>
          </cell>
          <cell r="O9">
            <v>20</v>
          </cell>
          <cell r="P9">
            <v>12</v>
          </cell>
          <cell r="Q9">
            <v>4</v>
          </cell>
          <cell r="R9">
            <v>200</v>
          </cell>
          <cell r="S9">
            <v>96</v>
          </cell>
          <cell r="T9">
            <v>100</v>
          </cell>
          <cell r="U9">
            <v>4</v>
          </cell>
          <cell r="V9">
            <v>790.49821199999997</v>
          </cell>
          <cell r="W9">
            <v>42.007151</v>
          </cell>
          <cell r="X9">
            <v>26.731824</v>
          </cell>
          <cell r="Y9">
            <v>15.275328</v>
          </cell>
          <cell r="Z9">
            <v>19.094159999999999</v>
          </cell>
          <cell r="AA9">
            <v>729.39690099999996</v>
          </cell>
          <cell r="AB9">
            <v>206.216925</v>
          </cell>
          <cell r="AC9">
            <v>492.629321</v>
          </cell>
          <cell r="AD9">
            <v>30.550656</v>
          </cell>
          <cell r="AE9">
            <v>656</v>
          </cell>
          <cell r="AF9">
            <v>32</v>
          </cell>
          <cell r="AG9">
            <v>20</v>
          </cell>
          <cell r="AH9">
            <v>12</v>
          </cell>
          <cell r="AI9">
            <v>8</v>
          </cell>
          <cell r="AJ9">
            <v>616</v>
          </cell>
          <cell r="AK9">
            <v>200</v>
          </cell>
          <cell r="AL9">
            <v>400</v>
          </cell>
          <cell r="AM9">
            <v>16</v>
          </cell>
          <cell r="AN9">
            <v>295.959476</v>
          </cell>
          <cell r="AO9">
            <v>801</v>
          </cell>
          <cell r="AP9">
            <v>236</v>
          </cell>
          <cell r="AQ9">
            <v>668</v>
          </cell>
          <cell r="AR9">
            <v>219</v>
          </cell>
          <cell r="AS9">
            <v>681</v>
          </cell>
          <cell r="AT9">
            <v>192</v>
          </cell>
          <cell r="AU9">
            <v>578</v>
          </cell>
          <cell r="AV9">
            <v>170</v>
          </cell>
          <cell r="AW9">
            <v>530</v>
          </cell>
          <cell r="AX9">
            <v>153</v>
          </cell>
          <cell r="AY9">
            <v>466</v>
          </cell>
          <cell r="AZ9">
            <v>641.647199</v>
          </cell>
          <cell r="BA9">
            <v>33.414779000000003</v>
          </cell>
          <cell r="BB9">
            <v>25.777115999999999</v>
          </cell>
          <cell r="BC9">
            <v>197.62455299999999</v>
          </cell>
          <cell r="BD9">
            <v>157.52681799999999</v>
          </cell>
          <cell r="BE9">
            <v>104.06317</v>
          </cell>
          <cell r="BF9">
            <v>67.101310999999995</v>
          </cell>
          <cell r="BG9">
            <v>56.139451999999999</v>
          </cell>
          <cell r="BH9">
            <v>33.414779000000003</v>
          </cell>
          <cell r="BI9">
            <v>25.777115999999999</v>
          </cell>
          <cell r="BJ9">
            <v>197.62455299999999</v>
          </cell>
          <cell r="BK9">
            <v>157.52681799999999</v>
          </cell>
          <cell r="BL9">
            <v>104.06317</v>
          </cell>
          <cell r="BM9">
            <v>61.101311000000003</v>
          </cell>
          <cell r="BN9">
            <v>18.139451999999999</v>
          </cell>
          <cell r="BO9">
            <v>0</v>
          </cell>
          <cell r="BP9">
            <v>1.909416</v>
          </cell>
          <cell r="BQ9">
            <v>8.5923719999999992</v>
          </cell>
          <cell r="BR9">
            <v>9.5470799999999993</v>
          </cell>
          <cell r="BS9">
            <v>10.501787999999999</v>
          </cell>
          <cell r="BT9">
            <v>6.6829559999999999</v>
          </cell>
          <cell r="BU9">
            <v>6.6829559999999999</v>
          </cell>
          <cell r="BV9">
            <v>1.909416</v>
          </cell>
          <cell r="BW9">
            <v>9.5470799999999993</v>
          </cell>
          <cell r="BX9">
            <v>175.666269</v>
          </cell>
          <cell r="BY9">
            <v>140.342074</v>
          </cell>
          <cell r="BZ9">
            <v>89.742551000000006</v>
          </cell>
          <cell r="CA9">
            <v>52.508938999999998</v>
          </cell>
          <cell r="CB9">
            <v>9.5470799999999993</v>
          </cell>
          <cell r="CC9">
            <v>52</v>
          </cell>
          <cell r="CD9">
            <v>45</v>
          </cell>
          <cell r="CE9">
            <v>142</v>
          </cell>
          <cell r="CF9">
            <v>167</v>
          </cell>
          <cell r="CG9">
            <v>67</v>
          </cell>
          <cell r="CH9">
            <v>58</v>
          </cell>
          <cell r="CI9">
            <v>15</v>
          </cell>
          <cell r="CJ9">
            <v>0</v>
          </cell>
          <cell r="CK9">
            <v>0</v>
          </cell>
          <cell r="CL9">
            <v>4</v>
          </cell>
          <cell r="CM9">
            <v>10</v>
          </cell>
          <cell r="CN9">
            <v>2</v>
          </cell>
          <cell r="CO9">
            <v>7</v>
          </cell>
          <cell r="CP9">
            <v>6</v>
          </cell>
          <cell r="CQ9">
            <v>361.87961899999999</v>
          </cell>
          <cell r="CR9">
            <v>199.03218100000001</v>
          </cell>
          <cell r="CS9">
            <v>54.003576000000002</v>
          </cell>
          <cell r="CT9">
            <v>26.731824</v>
          </cell>
          <cell r="CU9">
            <v>15.275328</v>
          </cell>
          <cell r="CV9">
            <v>19.094159999999999</v>
          </cell>
          <cell r="CW9">
            <v>34.369486999999999</v>
          </cell>
          <cell r="CX9">
            <v>57.282479000000002</v>
          </cell>
          <cell r="CY9">
            <v>45.825983000000001</v>
          </cell>
          <cell r="CZ9">
            <v>68.738974999999996</v>
          </cell>
          <cell r="DA9">
            <v>45.825983000000001</v>
          </cell>
          <cell r="DB9">
            <v>7.637664</v>
          </cell>
          <cell r="DC9">
            <v>45.825983000000001</v>
          </cell>
          <cell r="DD9">
            <v>61.101311000000003</v>
          </cell>
          <cell r="DE9">
            <v>110.746126</v>
          </cell>
          <cell r="DF9">
            <v>156.57211000000001</v>
          </cell>
          <cell r="DG9">
            <v>118.38379</v>
          </cell>
          <cell r="DH9">
            <v>190.941597</v>
          </cell>
          <cell r="DI9">
            <v>87.833134999999999</v>
          </cell>
          <cell r="DJ9">
            <v>19.094159999999999</v>
          </cell>
          <cell r="DK9">
            <v>12</v>
          </cell>
          <cell r="DL9">
            <v>20</v>
          </cell>
          <cell r="DM9">
            <v>12</v>
          </cell>
          <cell r="DN9">
            <v>40</v>
          </cell>
          <cell r="DO9">
            <v>20</v>
          </cell>
          <cell r="DP9">
            <v>60</v>
          </cell>
          <cell r="DQ9">
            <v>56</v>
          </cell>
          <cell r="DR9">
            <v>16</v>
          </cell>
          <cell r="DS9">
            <v>244.40524400000001</v>
          </cell>
          <cell r="DT9">
            <v>129.84028599999999</v>
          </cell>
          <cell r="DU9">
            <v>11.456496</v>
          </cell>
          <cell r="DV9">
            <v>0</v>
          </cell>
          <cell r="DW9">
            <v>11.456496</v>
          </cell>
          <cell r="DX9">
            <v>103.108462</v>
          </cell>
          <cell r="DY9">
            <v>200</v>
          </cell>
          <cell r="DZ9">
            <v>100</v>
          </cell>
          <cell r="EA9">
            <v>4</v>
          </cell>
          <cell r="EB9">
            <v>0</v>
          </cell>
          <cell r="EC9">
            <v>4</v>
          </cell>
          <cell r="ED9">
            <v>96</v>
          </cell>
          <cell r="EE9">
            <v>114.564958</v>
          </cell>
          <cell r="EF9">
            <v>38.188319</v>
          </cell>
          <cell r="EG9">
            <v>72.557806999999997</v>
          </cell>
          <cell r="EH9">
            <v>19.094159999999999</v>
          </cell>
          <cell r="EI9">
            <v>0</v>
          </cell>
          <cell r="EJ9">
            <v>104</v>
          </cell>
          <cell r="EK9">
            <v>24</v>
          </cell>
          <cell r="EL9">
            <v>44</v>
          </cell>
          <cell r="EM9">
            <v>24</v>
          </cell>
          <cell r="EN9">
            <v>4</v>
          </cell>
        </row>
        <row r="10">
          <cell r="A10" t="str">
            <v>37104</v>
          </cell>
          <cell r="B10" t="str">
            <v>Esvres</v>
          </cell>
          <cell r="C10" t="str">
            <v>CC du Val de l'Indre</v>
          </cell>
          <cell r="D10">
            <v>1721.043915</v>
          </cell>
          <cell r="E10">
            <v>379.332425</v>
          </cell>
          <cell r="F10">
            <v>156.68078399999999</v>
          </cell>
          <cell r="G10">
            <v>222.65163999999999</v>
          </cell>
          <cell r="H10">
            <v>28.421806</v>
          </cell>
          <cell r="I10">
            <v>1313.2896840000001</v>
          </cell>
          <cell r="J10">
            <v>577.27950999999996</v>
          </cell>
          <cell r="K10">
            <v>659.04259400000001</v>
          </cell>
          <cell r="L10">
            <v>76.967580999999996</v>
          </cell>
          <cell r="M10">
            <v>1565</v>
          </cell>
          <cell r="N10">
            <v>303</v>
          </cell>
          <cell r="O10">
            <v>137</v>
          </cell>
          <cell r="P10">
            <v>166</v>
          </cell>
          <cell r="Q10">
            <v>9</v>
          </cell>
          <cell r="R10">
            <v>1253</v>
          </cell>
          <cell r="S10">
            <v>537</v>
          </cell>
          <cell r="T10">
            <v>643</v>
          </cell>
          <cell r="U10">
            <v>73</v>
          </cell>
          <cell r="V10">
            <v>4308.1412520000003</v>
          </cell>
          <cell r="W10">
            <v>379.332425</v>
          </cell>
          <cell r="X10">
            <v>156.68078399999999</v>
          </cell>
          <cell r="Y10">
            <v>222.65163999999999</v>
          </cell>
          <cell r="Z10">
            <v>60.857232000000003</v>
          </cell>
          <cell r="AA10">
            <v>3867.951595</v>
          </cell>
          <cell r="AB10">
            <v>1182.6543650000001</v>
          </cell>
          <cell r="AC10">
            <v>2507.495073</v>
          </cell>
          <cell r="AD10">
            <v>177.80215699999999</v>
          </cell>
          <cell r="AE10">
            <v>4117</v>
          </cell>
          <cell r="AF10">
            <v>303</v>
          </cell>
          <cell r="AG10">
            <v>137</v>
          </cell>
          <cell r="AH10">
            <v>166</v>
          </cell>
          <cell r="AI10">
            <v>18</v>
          </cell>
          <cell r="AJ10">
            <v>3796</v>
          </cell>
          <cell r="AK10">
            <v>1097</v>
          </cell>
          <cell r="AL10">
            <v>2487</v>
          </cell>
          <cell r="AM10">
            <v>212</v>
          </cell>
          <cell r="AN10">
            <v>1716</v>
          </cell>
          <cell r="AO10">
            <v>4295</v>
          </cell>
          <cell r="AP10">
            <v>1575</v>
          </cell>
          <cell r="AQ10">
            <v>4176</v>
          </cell>
          <cell r="AR10">
            <v>1461</v>
          </cell>
          <cell r="AS10">
            <v>4099</v>
          </cell>
          <cell r="AT10">
            <v>1309</v>
          </cell>
          <cell r="AU10">
            <v>3925</v>
          </cell>
          <cell r="AV10">
            <v>921</v>
          </cell>
          <cell r="AW10">
            <v>2836</v>
          </cell>
          <cell r="AX10">
            <v>763</v>
          </cell>
          <cell r="AY10">
            <v>2413</v>
          </cell>
          <cell r="AZ10">
            <v>3588.3217629999999</v>
          </cell>
          <cell r="BA10">
            <v>297.221633</v>
          </cell>
          <cell r="BB10">
            <v>156.22204400000001</v>
          </cell>
          <cell r="BC10">
            <v>732.34415100000001</v>
          </cell>
          <cell r="BD10">
            <v>1159.3070889999999</v>
          </cell>
          <cell r="BE10">
            <v>625.78313700000001</v>
          </cell>
          <cell r="BF10">
            <v>480.71907700000003</v>
          </cell>
          <cell r="BG10">
            <v>136.72463300000001</v>
          </cell>
          <cell r="BH10">
            <v>294.221633</v>
          </cell>
          <cell r="BI10">
            <v>155.22204400000001</v>
          </cell>
          <cell r="BJ10">
            <v>718.34415100000001</v>
          </cell>
          <cell r="BK10">
            <v>1106.3070889999999</v>
          </cell>
          <cell r="BL10">
            <v>594.78313700000001</v>
          </cell>
          <cell r="BM10">
            <v>473.71907700000003</v>
          </cell>
          <cell r="BN10">
            <v>136.72463300000001</v>
          </cell>
          <cell r="BO10">
            <v>0</v>
          </cell>
          <cell r="BP10">
            <v>11.338741000000001</v>
          </cell>
          <cell r="BQ10">
            <v>52.570526000000001</v>
          </cell>
          <cell r="BR10">
            <v>70.094035000000005</v>
          </cell>
          <cell r="BS10">
            <v>80.401981000000006</v>
          </cell>
          <cell r="BT10">
            <v>110.29502599999999</v>
          </cell>
          <cell r="BU10">
            <v>54.632114999999999</v>
          </cell>
          <cell r="BV10">
            <v>4.0374210000000001</v>
          </cell>
          <cell r="BW10">
            <v>37.454078000000003</v>
          </cell>
          <cell r="BX10">
            <v>584.88318100000004</v>
          </cell>
          <cell r="BY10">
            <v>972.70854799999995</v>
          </cell>
          <cell r="BZ10">
            <v>498.24863399999998</v>
          </cell>
          <cell r="CA10">
            <v>347.410391</v>
          </cell>
          <cell r="CB10">
            <v>62.946021999999999</v>
          </cell>
          <cell r="CC10">
            <v>266</v>
          </cell>
          <cell r="CD10">
            <v>187</v>
          </cell>
          <cell r="CE10">
            <v>840</v>
          </cell>
          <cell r="CF10">
            <v>1095</v>
          </cell>
          <cell r="CG10">
            <v>428</v>
          </cell>
          <cell r="CH10">
            <v>424</v>
          </cell>
          <cell r="CI10">
            <v>101</v>
          </cell>
          <cell r="CJ10">
            <v>0</v>
          </cell>
          <cell r="CK10">
            <v>5</v>
          </cell>
          <cell r="CL10">
            <v>38</v>
          </cell>
          <cell r="CM10">
            <v>70</v>
          </cell>
          <cell r="CN10">
            <v>45</v>
          </cell>
          <cell r="CO10">
            <v>83</v>
          </cell>
          <cell r="CP10">
            <v>52</v>
          </cell>
          <cell r="CQ10">
            <v>2112.142683</v>
          </cell>
          <cell r="CR10">
            <v>1041.2193609999999</v>
          </cell>
          <cell r="CS10">
            <v>220.193693</v>
          </cell>
          <cell r="CT10">
            <v>214.76602600000001</v>
          </cell>
          <cell r="CU10">
            <v>7.8669130000000003</v>
          </cell>
          <cell r="CV10">
            <v>132.51553000000001</v>
          </cell>
          <cell r="CW10">
            <v>184.26961299999999</v>
          </cell>
          <cell r="CX10">
            <v>264.50291099999998</v>
          </cell>
          <cell r="CY10">
            <v>165.56337400000001</v>
          </cell>
          <cell r="CZ10">
            <v>305.30232599999999</v>
          </cell>
          <cell r="DA10">
            <v>599.833665</v>
          </cell>
          <cell r="DB10">
            <v>61.189584000000004</v>
          </cell>
          <cell r="DC10">
            <v>35.374623999999997</v>
          </cell>
          <cell r="DD10">
            <v>391.75120399999997</v>
          </cell>
          <cell r="DE10">
            <v>577.73732299999995</v>
          </cell>
          <cell r="DF10">
            <v>820.233026</v>
          </cell>
          <cell r="DG10">
            <v>419.66663699999998</v>
          </cell>
          <cell r="DH10">
            <v>892.27961700000003</v>
          </cell>
          <cell r="DI10">
            <v>1061.634785</v>
          </cell>
          <cell r="DJ10">
            <v>109.46403599999999</v>
          </cell>
          <cell r="DK10">
            <v>12</v>
          </cell>
          <cell r="DL10">
            <v>143</v>
          </cell>
          <cell r="DM10">
            <v>141</v>
          </cell>
          <cell r="DN10">
            <v>254</v>
          </cell>
          <cell r="DO10">
            <v>134</v>
          </cell>
          <cell r="DP10">
            <v>361</v>
          </cell>
          <cell r="DQ10">
            <v>457</v>
          </cell>
          <cell r="DR10">
            <v>63</v>
          </cell>
          <cell r="DS10">
            <v>1313.2896840000001</v>
          </cell>
          <cell r="DT10">
            <v>659.04259400000001</v>
          </cell>
          <cell r="DU10">
            <v>76.967580999999996</v>
          </cell>
          <cell r="DV10">
            <v>8.0279690000000006</v>
          </cell>
          <cell r="DW10">
            <v>68.939611999999997</v>
          </cell>
          <cell r="DX10">
            <v>577.27950999999996</v>
          </cell>
          <cell r="DY10">
            <v>1261</v>
          </cell>
          <cell r="DZ10">
            <v>643</v>
          </cell>
          <cell r="EA10">
            <v>73</v>
          </cell>
          <cell r="EB10">
            <v>5</v>
          </cell>
          <cell r="EC10">
            <v>68</v>
          </cell>
          <cell r="ED10">
            <v>545</v>
          </cell>
          <cell r="EE10">
            <v>649.69009700000004</v>
          </cell>
          <cell r="EF10">
            <v>277.322159</v>
          </cell>
          <cell r="EG10">
            <v>273.18278700000002</v>
          </cell>
          <cell r="EH10">
            <v>89.966333000000006</v>
          </cell>
          <cell r="EI10">
            <v>23.128309000000002</v>
          </cell>
          <cell r="EJ10">
            <v>623</v>
          </cell>
          <cell r="EK10">
            <v>235</v>
          </cell>
          <cell r="EL10">
            <v>290</v>
          </cell>
          <cell r="EM10">
            <v>92</v>
          </cell>
          <cell r="EN10">
            <v>21</v>
          </cell>
        </row>
        <row r="11">
          <cell r="A11" t="str">
            <v>37109</v>
          </cell>
          <cell r="B11" t="str">
            <v>Fondettes</v>
          </cell>
          <cell r="C11" t="str">
            <v>Tour(s)plus</v>
          </cell>
          <cell r="D11">
            <v>3705.2661090000001</v>
          </cell>
          <cell r="E11">
            <v>724.25601500000005</v>
          </cell>
          <cell r="F11">
            <v>213.423328</v>
          </cell>
          <cell r="G11">
            <v>510.83268800000002</v>
          </cell>
          <cell r="H11">
            <v>59.284258000000001</v>
          </cell>
          <cell r="I11">
            <v>2921.7258360000001</v>
          </cell>
          <cell r="J11">
            <v>1245.957484</v>
          </cell>
          <cell r="K11">
            <v>1450.488173</v>
          </cell>
          <cell r="L11">
            <v>225.280179</v>
          </cell>
          <cell r="M11">
            <v>3124</v>
          </cell>
          <cell r="N11">
            <v>460</v>
          </cell>
          <cell r="O11">
            <v>200</v>
          </cell>
          <cell r="P11">
            <v>260</v>
          </cell>
          <cell r="Q11">
            <v>24</v>
          </cell>
          <cell r="R11">
            <v>2640</v>
          </cell>
          <cell r="S11">
            <v>980</v>
          </cell>
          <cell r="T11">
            <v>1492</v>
          </cell>
          <cell r="U11">
            <v>168</v>
          </cell>
          <cell r="V11">
            <v>9693.9642129999993</v>
          </cell>
          <cell r="W11">
            <v>724.25601500000005</v>
          </cell>
          <cell r="X11">
            <v>213.423328</v>
          </cell>
          <cell r="Y11">
            <v>510.83268800000002</v>
          </cell>
          <cell r="Z11">
            <v>138.32993500000001</v>
          </cell>
          <cell r="AA11">
            <v>8831.3782630000005</v>
          </cell>
          <cell r="AB11">
            <v>2578.8652120000002</v>
          </cell>
          <cell r="AC11">
            <v>5659.6704730000001</v>
          </cell>
          <cell r="AD11">
            <v>592.84257700000001</v>
          </cell>
          <cell r="AE11">
            <v>8872</v>
          </cell>
          <cell r="AF11">
            <v>460</v>
          </cell>
          <cell r="AG11">
            <v>200</v>
          </cell>
          <cell r="AH11">
            <v>260</v>
          </cell>
          <cell r="AI11">
            <v>48</v>
          </cell>
          <cell r="AJ11">
            <v>8364</v>
          </cell>
          <cell r="AK11">
            <v>2024</v>
          </cell>
          <cell r="AL11">
            <v>5872</v>
          </cell>
          <cell r="AM11">
            <v>468</v>
          </cell>
          <cell r="AN11">
            <v>3703.3138250000002</v>
          </cell>
          <cell r="AO11">
            <v>9693</v>
          </cell>
          <cell r="AP11">
            <v>3127</v>
          </cell>
          <cell r="AQ11">
            <v>8872</v>
          </cell>
          <cell r="AR11">
            <v>2424</v>
          </cell>
          <cell r="AS11">
            <v>7277</v>
          </cell>
          <cell r="AT11">
            <v>1945</v>
          </cell>
          <cell r="AU11">
            <v>5839</v>
          </cell>
          <cell r="AV11">
            <v>1475</v>
          </cell>
          <cell r="AW11">
            <v>4563</v>
          </cell>
          <cell r="AX11">
            <v>1064</v>
          </cell>
          <cell r="AY11">
            <v>3434</v>
          </cell>
          <cell r="AZ11">
            <v>7891.0360039999996</v>
          </cell>
          <cell r="BA11">
            <v>807.73650599999996</v>
          </cell>
          <cell r="BB11">
            <v>434.48544900000002</v>
          </cell>
          <cell r="BC11">
            <v>1438.577047</v>
          </cell>
          <cell r="BD11">
            <v>2402.0212780000002</v>
          </cell>
          <cell r="BE11">
            <v>1330.483536</v>
          </cell>
          <cell r="BF11">
            <v>1127.9295259999999</v>
          </cell>
          <cell r="BG11">
            <v>349.802661</v>
          </cell>
          <cell r="BH11">
            <v>745.00550599999997</v>
          </cell>
          <cell r="BI11">
            <v>411.04944899999998</v>
          </cell>
          <cell r="BJ11">
            <v>1414.929547</v>
          </cell>
          <cell r="BK11">
            <v>2384.215232</v>
          </cell>
          <cell r="BL11">
            <v>1317.0985929999999</v>
          </cell>
          <cell r="BM11">
            <v>1103.6752650000001</v>
          </cell>
          <cell r="BN11">
            <v>339.896411</v>
          </cell>
          <cell r="BO11">
            <v>4.9403550000000003</v>
          </cell>
          <cell r="BP11">
            <v>32.618271</v>
          </cell>
          <cell r="BQ11">
            <v>106.72359299999999</v>
          </cell>
          <cell r="BR11">
            <v>109.675877</v>
          </cell>
          <cell r="BS11">
            <v>112.64009</v>
          </cell>
          <cell r="BT11">
            <v>210.459115</v>
          </cell>
          <cell r="BU11">
            <v>145.246431</v>
          </cell>
          <cell r="BV11">
            <v>3.9522840000000001</v>
          </cell>
          <cell r="BW11">
            <v>55.331974000000002</v>
          </cell>
          <cell r="BX11">
            <v>1113.533549</v>
          </cell>
          <cell r="BY11">
            <v>2125.3406399999999</v>
          </cell>
          <cell r="BZ11">
            <v>1163.472293</v>
          </cell>
          <cell r="CA11">
            <v>880.80072900000005</v>
          </cell>
          <cell r="CB11">
            <v>179.34168500000001</v>
          </cell>
          <cell r="CC11">
            <v>742</v>
          </cell>
          <cell r="CD11">
            <v>423</v>
          </cell>
          <cell r="CE11">
            <v>1562</v>
          </cell>
          <cell r="CF11">
            <v>2245</v>
          </cell>
          <cell r="CG11">
            <v>945</v>
          </cell>
          <cell r="CH11">
            <v>857</v>
          </cell>
          <cell r="CI11">
            <v>208</v>
          </cell>
          <cell r="CJ11">
            <v>4</v>
          </cell>
          <cell r="CK11">
            <v>13</v>
          </cell>
          <cell r="CL11">
            <v>74</v>
          </cell>
          <cell r="CM11">
            <v>76</v>
          </cell>
          <cell r="CN11">
            <v>67</v>
          </cell>
          <cell r="CO11">
            <v>136</v>
          </cell>
          <cell r="CP11">
            <v>90</v>
          </cell>
          <cell r="CQ11">
            <v>4847.9080409999997</v>
          </cell>
          <cell r="CR11">
            <v>2194.4683570000002</v>
          </cell>
          <cell r="CS11">
            <v>443.56002799999999</v>
          </cell>
          <cell r="CT11">
            <v>405.09957800000001</v>
          </cell>
          <cell r="CU11">
            <v>11.856852</v>
          </cell>
          <cell r="CV11">
            <v>213.423328</v>
          </cell>
          <cell r="CW11">
            <v>778.599918</v>
          </cell>
          <cell r="CX11">
            <v>653.11490600000002</v>
          </cell>
          <cell r="CY11">
            <v>276.65986900000001</v>
          </cell>
          <cell r="CZ11">
            <v>422.89437199999998</v>
          </cell>
          <cell r="DA11">
            <v>1244.969413</v>
          </cell>
          <cell r="DB11">
            <v>103.747451</v>
          </cell>
          <cell r="DC11">
            <v>31.618271</v>
          </cell>
          <cell r="DD11">
            <v>735.12479599999995</v>
          </cell>
          <cell r="DE11">
            <v>2557.1276509999998</v>
          </cell>
          <cell r="DF11">
            <v>1950.45208</v>
          </cell>
          <cell r="DG11">
            <v>707.45880899999997</v>
          </cell>
          <cell r="DH11">
            <v>1276.5876840000001</v>
          </cell>
          <cell r="DI11">
            <v>2248.8495109999999</v>
          </cell>
          <cell r="DJ11">
            <v>186.74541199999999</v>
          </cell>
          <cell r="DK11">
            <v>12</v>
          </cell>
          <cell r="DL11">
            <v>220</v>
          </cell>
          <cell r="DM11">
            <v>488</v>
          </cell>
          <cell r="DN11">
            <v>636</v>
          </cell>
          <cell r="DO11">
            <v>244</v>
          </cell>
          <cell r="DP11">
            <v>496</v>
          </cell>
          <cell r="DQ11">
            <v>928</v>
          </cell>
          <cell r="DR11">
            <v>100</v>
          </cell>
          <cell r="DS11">
            <v>2941.487255</v>
          </cell>
          <cell r="DT11">
            <v>1454.4404569999999</v>
          </cell>
          <cell r="DU11">
            <v>233.18474699999999</v>
          </cell>
          <cell r="DV11">
            <v>19.761419</v>
          </cell>
          <cell r="DW11">
            <v>213.423328</v>
          </cell>
          <cell r="DX11">
            <v>1253.8620510000001</v>
          </cell>
          <cell r="DY11">
            <v>2648</v>
          </cell>
          <cell r="DZ11">
            <v>1492</v>
          </cell>
          <cell r="EA11">
            <v>168</v>
          </cell>
          <cell r="EB11">
            <v>36</v>
          </cell>
          <cell r="EC11">
            <v>132</v>
          </cell>
          <cell r="ED11">
            <v>988</v>
          </cell>
          <cell r="EE11">
            <v>1340.8122960000001</v>
          </cell>
          <cell r="EF11">
            <v>596.79486099999997</v>
          </cell>
          <cell r="EG11">
            <v>695.60195799999997</v>
          </cell>
          <cell r="EH11">
            <v>248.99388300000001</v>
          </cell>
          <cell r="EI11">
            <v>59.284258000000001</v>
          </cell>
          <cell r="EJ11">
            <v>1136</v>
          </cell>
          <cell r="EK11">
            <v>536</v>
          </cell>
          <cell r="EL11">
            <v>660</v>
          </cell>
          <cell r="EM11">
            <v>256</v>
          </cell>
          <cell r="EN11">
            <v>60</v>
          </cell>
        </row>
        <row r="12">
          <cell r="A12" t="str">
            <v>37122</v>
          </cell>
          <cell r="B12" t="str">
            <v>Joué-lès-Tours</v>
          </cell>
          <cell r="C12" t="str">
            <v>Tour(s)plus</v>
          </cell>
          <cell r="D12">
            <v>15907.036042</v>
          </cell>
          <cell r="E12">
            <v>5391.492381</v>
          </cell>
          <cell r="F12">
            <v>2233.2473620000001</v>
          </cell>
          <cell r="G12">
            <v>3158.245019</v>
          </cell>
          <cell r="H12">
            <v>257.284018</v>
          </cell>
          <cell r="I12">
            <v>10258.259642000001</v>
          </cell>
          <cell r="J12">
            <v>4628.9512649999997</v>
          </cell>
          <cell r="K12">
            <v>4125.469548</v>
          </cell>
          <cell r="L12">
            <v>1503.8388299999999</v>
          </cell>
          <cell r="M12">
            <v>14636</v>
          </cell>
          <cell r="N12">
            <v>4152</v>
          </cell>
          <cell r="O12">
            <v>1660</v>
          </cell>
          <cell r="P12">
            <v>2492</v>
          </cell>
          <cell r="Q12">
            <v>164</v>
          </cell>
          <cell r="R12">
            <v>10320</v>
          </cell>
          <cell r="S12">
            <v>4072</v>
          </cell>
          <cell r="T12">
            <v>4956</v>
          </cell>
          <cell r="U12">
            <v>1292</v>
          </cell>
          <cell r="V12">
            <v>35385.5003</v>
          </cell>
          <cell r="W12">
            <v>5391.492381</v>
          </cell>
          <cell r="X12">
            <v>2233.2473620000001</v>
          </cell>
          <cell r="Y12">
            <v>3158.245019</v>
          </cell>
          <cell r="Z12">
            <v>629.766526</v>
          </cell>
          <cell r="AA12">
            <v>29364.241392</v>
          </cell>
          <cell r="AB12">
            <v>9398.0098190000008</v>
          </cell>
          <cell r="AC12">
            <v>15984.737719999999</v>
          </cell>
          <cell r="AD12">
            <v>3981.4938529999999</v>
          </cell>
          <cell r="AE12">
            <v>35940</v>
          </cell>
          <cell r="AF12">
            <v>4152</v>
          </cell>
          <cell r="AG12">
            <v>1660</v>
          </cell>
          <cell r="AH12">
            <v>2492</v>
          </cell>
          <cell r="AI12">
            <v>352</v>
          </cell>
          <cell r="AJ12">
            <v>31436</v>
          </cell>
          <cell r="AK12">
            <v>8304</v>
          </cell>
          <cell r="AL12">
            <v>19588</v>
          </cell>
          <cell r="AM12">
            <v>3544</v>
          </cell>
          <cell r="AN12">
            <v>15909.154151999999</v>
          </cell>
          <cell r="AO12">
            <v>35397.618410000003</v>
          </cell>
          <cell r="AP12">
            <v>14640</v>
          </cell>
          <cell r="AQ12">
            <v>35924</v>
          </cell>
          <cell r="AR12">
            <v>13077</v>
          </cell>
          <cell r="AS12">
            <v>36270</v>
          </cell>
          <cell r="AT12">
            <v>11327</v>
          </cell>
          <cell r="AU12">
            <v>34022</v>
          </cell>
          <cell r="AV12">
            <v>8204</v>
          </cell>
          <cell r="AW12">
            <v>26606</v>
          </cell>
          <cell r="AX12">
            <v>5014</v>
          </cell>
          <cell r="AY12">
            <v>17351</v>
          </cell>
          <cell r="AZ12">
            <v>30166.177344</v>
          </cell>
          <cell r="BA12">
            <v>2559.757427</v>
          </cell>
          <cell r="BB12">
            <v>3165.5930149999999</v>
          </cell>
          <cell r="BC12">
            <v>6546.3686530000004</v>
          </cell>
          <cell r="BD12">
            <v>6944.4920270000002</v>
          </cell>
          <cell r="BE12">
            <v>4874.7287619999997</v>
          </cell>
          <cell r="BF12">
            <v>4461.148631</v>
          </cell>
          <cell r="BG12">
            <v>1614.088829</v>
          </cell>
          <cell r="BH12">
            <v>2467.6570529999999</v>
          </cell>
          <cell r="BI12">
            <v>3061.5030099999999</v>
          </cell>
          <cell r="BJ12">
            <v>6476.674199</v>
          </cell>
          <cell r="BK12">
            <v>6916.7371380000004</v>
          </cell>
          <cell r="BL12">
            <v>4806.7898919999998</v>
          </cell>
          <cell r="BM12">
            <v>4335.8884900000003</v>
          </cell>
          <cell r="BN12">
            <v>1322.1555430000001</v>
          </cell>
          <cell r="BO12">
            <v>187.43107900000001</v>
          </cell>
          <cell r="BP12">
            <v>742.48638800000003</v>
          </cell>
          <cell r="BQ12">
            <v>1007.7462849999999</v>
          </cell>
          <cell r="BR12">
            <v>862.04185299999995</v>
          </cell>
          <cell r="BS12">
            <v>870.77037299999995</v>
          </cell>
          <cell r="BT12">
            <v>1062.445158</v>
          </cell>
          <cell r="BU12">
            <v>658.68935599999998</v>
          </cell>
          <cell r="BV12">
            <v>71.021535999999998</v>
          </cell>
          <cell r="BW12">
            <v>898.10824100000002</v>
          </cell>
          <cell r="BX12">
            <v>4359.7748689999999</v>
          </cell>
          <cell r="BY12">
            <v>5215.7768260000003</v>
          </cell>
          <cell r="BZ12">
            <v>3684.1439150000001</v>
          </cell>
          <cell r="CA12">
            <v>3197.407471</v>
          </cell>
          <cell r="CB12">
            <v>662.25654699999996</v>
          </cell>
          <cell r="CC12">
            <v>2910</v>
          </cell>
          <cell r="CD12">
            <v>2973</v>
          </cell>
          <cell r="CE12">
            <v>7390</v>
          </cell>
          <cell r="CF12">
            <v>7939</v>
          </cell>
          <cell r="CG12">
            <v>3663</v>
          </cell>
          <cell r="CH12">
            <v>3665</v>
          </cell>
          <cell r="CI12">
            <v>818</v>
          </cell>
          <cell r="CJ12">
            <v>118</v>
          </cell>
          <cell r="CK12">
            <v>580</v>
          </cell>
          <cell r="CL12">
            <v>913</v>
          </cell>
          <cell r="CM12">
            <v>759</v>
          </cell>
          <cell r="CN12">
            <v>464</v>
          </cell>
          <cell r="CO12">
            <v>907</v>
          </cell>
          <cell r="CP12">
            <v>413</v>
          </cell>
          <cell r="CQ12">
            <v>14815.858312</v>
          </cell>
          <cell r="CR12">
            <v>10845.338798000001</v>
          </cell>
          <cell r="CS12">
            <v>2191.8081689999999</v>
          </cell>
          <cell r="CT12">
            <v>2313.1720650000002</v>
          </cell>
          <cell r="CU12">
            <v>15.355202</v>
          </cell>
          <cell r="CV12">
            <v>453.64908200000002</v>
          </cell>
          <cell r="CW12">
            <v>1342.946817</v>
          </cell>
          <cell r="CX12">
            <v>2474.9086820000002</v>
          </cell>
          <cell r="CY12">
            <v>2228.0213610000001</v>
          </cell>
          <cell r="CZ12">
            <v>3012.192348</v>
          </cell>
          <cell r="DA12">
            <v>5350.2171760000001</v>
          </cell>
          <cell r="DB12">
            <v>1029.7453740000001</v>
          </cell>
          <cell r="DC12">
            <v>32.925617000000003</v>
          </cell>
          <cell r="DD12">
            <v>1305.2715969999999</v>
          </cell>
          <cell r="DE12">
            <v>3753.1667659999998</v>
          </cell>
          <cell r="DF12">
            <v>5883.8300129999998</v>
          </cell>
          <cell r="DG12">
            <v>4866.9495049999996</v>
          </cell>
          <cell r="DH12">
            <v>8520.3498440000003</v>
          </cell>
          <cell r="DI12">
            <v>9247.8457490000001</v>
          </cell>
          <cell r="DJ12">
            <v>1775.161208</v>
          </cell>
          <cell r="DK12">
            <v>16</v>
          </cell>
          <cell r="DL12">
            <v>456</v>
          </cell>
          <cell r="DM12">
            <v>1192</v>
          </cell>
          <cell r="DN12">
            <v>2196</v>
          </cell>
          <cell r="DO12">
            <v>2044</v>
          </cell>
          <cell r="DP12">
            <v>3364</v>
          </cell>
          <cell r="DQ12">
            <v>4020</v>
          </cell>
          <cell r="DR12">
            <v>1348</v>
          </cell>
          <cell r="DS12">
            <v>10301.394435</v>
          </cell>
          <cell r="DT12">
            <v>4133.051418</v>
          </cell>
          <cell r="DU12">
            <v>1510.3582510000001</v>
          </cell>
          <cell r="DV12">
            <v>165.683256</v>
          </cell>
          <cell r="DW12">
            <v>1344.6749950000001</v>
          </cell>
          <cell r="DX12">
            <v>4657.9847659999996</v>
          </cell>
          <cell r="DY12">
            <v>10384</v>
          </cell>
          <cell r="DZ12">
            <v>4964</v>
          </cell>
          <cell r="EA12">
            <v>1316</v>
          </cell>
          <cell r="EB12">
            <v>156</v>
          </cell>
          <cell r="EC12">
            <v>1160</v>
          </cell>
          <cell r="ED12">
            <v>4104</v>
          </cell>
          <cell r="EE12">
            <v>5106.6930190000003</v>
          </cell>
          <cell r="EF12">
            <v>2409.646835</v>
          </cell>
          <cell r="EG12">
            <v>1863.1363120000001</v>
          </cell>
          <cell r="EH12">
            <v>648.13239499999997</v>
          </cell>
          <cell r="EI12">
            <v>273.78587299999998</v>
          </cell>
          <cell r="EJ12">
            <v>4712</v>
          </cell>
          <cell r="EK12">
            <v>2424</v>
          </cell>
          <cell r="EL12">
            <v>2112</v>
          </cell>
          <cell r="EM12">
            <v>788</v>
          </cell>
          <cell r="EN12">
            <v>348</v>
          </cell>
        </row>
        <row r="13">
          <cell r="A13" t="str">
            <v>37124</v>
          </cell>
          <cell r="B13" t="str">
            <v>Larçay</v>
          </cell>
          <cell r="C13" t="str">
            <v>CC de l'Est Tourangeau</v>
          </cell>
          <cell r="D13">
            <v>875.90673600000002</v>
          </cell>
          <cell r="E13">
            <v>155.71675300000001</v>
          </cell>
          <cell r="F13">
            <v>50.607945000000001</v>
          </cell>
          <cell r="G13">
            <v>105.108808</v>
          </cell>
          <cell r="H13">
            <v>3.892919</v>
          </cell>
          <cell r="I13">
            <v>716.29706399999998</v>
          </cell>
          <cell r="J13">
            <v>303.64766800000001</v>
          </cell>
          <cell r="K13">
            <v>358.14853199999999</v>
          </cell>
          <cell r="L13">
            <v>54.500864</v>
          </cell>
          <cell r="M13">
            <v>716</v>
          </cell>
          <cell r="N13">
            <v>104</v>
          </cell>
          <cell r="O13">
            <v>44</v>
          </cell>
          <cell r="P13">
            <v>60</v>
          </cell>
          <cell r="Q13">
            <v>0</v>
          </cell>
          <cell r="R13">
            <v>612</v>
          </cell>
          <cell r="S13">
            <v>216</v>
          </cell>
          <cell r="T13">
            <v>348</v>
          </cell>
          <cell r="U13">
            <v>48</v>
          </cell>
          <cell r="V13">
            <v>2261.7858379999998</v>
          </cell>
          <cell r="W13">
            <v>155.71675300000001</v>
          </cell>
          <cell r="X13">
            <v>50.607945000000001</v>
          </cell>
          <cell r="Y13">
            <v>105.108808</v>
          </cell>
          <cell r="Z13">
            <v>7.785838</v>
          </cell>
          <cell r="AA13">
            <v>2098.2832469999998</v>
          </cell>
          <cell r="AB13">
            <v>615.08117400000003</v>
          </cell>
          <cell r="AC13">
            <v>1354.7357509999999</v>
          </cell>
          <cell r="AD13">
            <v>128.46632099999999</v>
          </cell>
          <cell r="AE13">
            <v>1972</v>
          </cell>
          <cell r="AF13">
            <v>104</v>
          </cell>
          <cell r="AG13">
            <v>44</v>
          </cell>
          <cell r="AH13">
            <v>60</v>
          </cell>
          <cell r="AI13">
            <v>0</v>
          </cell>
          <cell r="AJ13">
            <v>1868</v>
          </cell>
          <cell r="AK13">
            <v>444</v>
          </cell>
          <cell r="AL13">
            <v>1316</v>
          </cell>
          <cell r="AM13">
            <v>108</v>
          </cell>
          <cell r="AN13">
            <v>872.98704699999996</v>
          </cell>
          <cell r="AO13">
            <v>2254</v>
          </cell>
          <cell r="AP13">
            <v>714</v>
          </cell>
          <cell r="AQ13">
            <v>2035</v>
          </cell>
          <cell r="AR13">
            <v>557</v>
          </cell>
          <cell r="AS13">
            <v>1747</v>
          </cell>
          <cell r="AT13">
            <v>444</v>
          </cell>
          <cell r="AU13">
            <v>1405</v>
          </cell>
          <cell r="AV13">
            <v>299</v>
          </cell>
          <cell r="AW13">
            <v>930</v>
          </cell>
          <cell r="AX13">
            <v>232</v>
          </cell>
          <cell r="AY13">
            <v>759</v>
          </cell>
          <cell r="AZ13">
            <v>1790.7426599999999</v>
          </cell>
          <cell r="BA13">
            <v>143.06476699999999</v>
          </cell>
          <cell r="BB13">
            <v>76.885147000000003</v>
          </cell>
          <cell r="BC13">
            <v>408.75647700000002</v>
          </cell>
          <cell r="BD13">
            <v>542.08894599999996</v>
          </cell>
          <cell r="BE13">
            <v>372.74697800000001</v>
          </cell>
          <cell r="BF13">
            <v>212.16407599999999</v>
          </cell>
          <cell r="BG13">
            <v>35.036268999999997</v>
          </cell>
          <cell r="BH13">
            <v>143.06476699999999</v>
          </cell>
          <cell r="BI13">
            <v>76.885147000000003</v>
          </cell>
          <cell r="BJ13">
            <v>408.75647700000002</v>
          </cell>
          <cell r="BK13">
            <v>542.08894599999996</v>
          </cell>
          <cell r="BL13">
            <v>372.74697800000001</v>
          </cell>
          <cell r="BM13">
            <v>212.16407599999999</v>
          </cell>
          <cell r="BN13">
            <v>35.036268999999997</v>
          </cell>
          <cell r="BO13">
            <v>0</v>
          </cell>
          <cell r="BP13">
            <v>0.97323000000000004</v>
          </cell>
          <cell r="BQ13">
            <v>14.598445999999999</v>
          </cell>
          <cell r="BR13">
            <v>36.009498999999998</v>
          </cell>
          <cell r="BS13">
            <v>50.607945000000001</v>
          </cell>
          <cell r="BT13">
            <v>32.116579999999999</v>
          </cell>
          <cell r="BU13">
            <v>21.411054</v>
          </cell>
          <cell r="BV13">
            <v>2.919689</v>
          </cell>
          <cell r="BW13">
            <v>9.7322970000000009</v>
          </cell>
          <cell r="BX13">
            <v>352.30915399999998</v>
          </cell>
          <cell r="BY13">
            <v>467.15025900000001</v>
          </cell>
          <cell r="BZ13">
            <v>305.59412800000001</v>
          </cell>
          <cell r="CA13">
            <v>173.23488800000001</v>
          </cell>
          <cell r="CB13">
            <v>10.705527</v>
          </cell>
          <cell r="CC13">
            <v>169</v>
          </cell>
          <cell r="CD13">
            <v>115</v>
          </cell>
          <cell r="CE13">
            <v>387</v>
          </cell>
          <cell r="CF13">
            <v>593</v>
          </cell>
          <cell r="CG13">
            <v>192</v>
          </cell>
          <cell r="CH13">
            <v>143</v>
          </cell>
          <cell r="CI13">
            <v>30</v>
          </cell>
          <cell r="CJ13">
            <v>0</v>
          </cell>
          <cell r="CK13">
            <v>4</v>
          </cell>
          <cell r="CL13">
            <v>17</v>
          </cell>
          <cell r="CM13">
            <v>32</v>
          </cell>
          <cell r="CN13">
            <v>10</v>
          </cell>
          <cell r="CO13">
            <v>22</v>
          </cell>
          <cell r="CP13">
            <v>15</v>
          </cell>
          <cell r="CQ13">
            <v>1131.866149</v>
          </cell>
          <cell r="CR13">
            <v>465.2038</v>
          </cell>
          <cell r="CS13">
            <v>80.778065999999995</v>
          </cell>
          <cell r="CT13">
            <v>112.89464599999999</v>
          </cell>
          <cell r="CU13">
            <v>0</v>
          </cell>
          <cell r="CV13">
            <v>35.036268999999997</v>
          </cell>
          <cell r="CW13">
            <v>147.930915</v>
          </cell>
          <cell r="CX13">
            <v>182.967185</v>
          </cell>
          <cell r="CY13">
            <v>89.537132999999997</v>
          </cell>
          <cell r="CZ13">
            <v>140.14507800000001</v>
          </cell>
          <cell r="DA13">
            <v>264.71848</v>
          </cell>
          <cell r="DB13">
            <v>15.571675000000001</v>
          </cell>
          <cell r="DC13">
            <v>0</v>
          </cell>
          <cell r="DD13">
            <v>101.215889</v>
          </cell>
          <cell r="DE13">
            <v>416.54231399999998</v>
          </cell>
          <cell r="DF13">
            <v>583.93782399999998</v>
          </cell>
          <cell r="DG13">
            <v>182.967185</v>
          </cell>
          <cell r="DH13">
            <v>439.89982700000002</v>
          </cell>
          <cell r="DI13">
            <v>502.18652800000001</v>
          </cell>
          <cell r="DJ13">
            <v>35.036268999999997</v>
          </cell>
          <cell r="DK13">
            <v>4</v>
          </cell>
          <cell r="DL13">
            <v>52</v>
          </cell>
          <cell r="DM13">
            <v>112</v>
          </cell>
          <cell r="DN13">
            <v>152</v>
          </cell>
          <cell r="DO13">
            <v>68</v>
          </cell>
          <cell r="DP13">
            <v>140</v>
          </cell>
          <cell r="DQ13">
            <v>172</v>
          </cell>
          <cell r="DR13">
            <v>16</v>
          </cell>
          <cell r="DS13">
            <v>716.29706399999998</v>
          </cell>
          <cell r="DT13">
            <v>358.14853199999999</v>
          </cell>
          <cell r="DU13">
            <v>54.500864</v>
          </cell>
          <cell r="DV13">
            <v>7.785838</v>
          </cell>
          <cell r="DW13">
            <v>46.715026000000002</v>
          </cell>
          <cell r="DX13">
            <v>303.64766800000001</v>
          </cell>
          <cell r="DY13">
            <v>616</v>
          </cell>
          <cell r="DZ13">
            <v>348</v>
          </cell>
          <cell r="EA13">
            <v>52</v>
          </cell>
          <cell r="EB13">
            <v>12</v>
          </cell>
          <cell r="EC13">
            <v>40</v>
          </cell>
          <cell r="ED13">
            <v>216</v>
          </cell>
          <cell r="EE13">
            <v>323.11226299999998</v>
          </cell>
          <cell r="EF13">
            <v>163.502591</v>
          </cell>
          <cell r="EG13">
            <v>179.07426599999999</v>
          </cell>
          <cell r="EH13">
            <v>46.715026000000002</v>
          </cell>
          <cell r="EI13">
            <v>3.892919</v>
          </cell>
          <cell r="EJ13">
            <v>260</v>
          </cell>
          <cell r="EK13">
            <v>164</v>
          </cell>
          <cell r="EL13">
            <v>144</v>
          </cell>
          <cell r="EM13">
            <v>36</v>
          </cell>
          <cell r="EN13">
            <v>12</v>
          </cell>
        </row>
        <row r="14">
          <cell r="A14" t="str">
            <v>37139</v>
          </cell>
          <cell r="B14" t="str">
            <v>Luynes</v>
          </cell>
          <cell r="C14" t="str">
            <v>Tour(s)plus</v>
          </cell>
          <cell r="D14">
            <v>1784.965657</v>
          </cell>
          <cell r="E14">
            <v>394.25179200000002</v>
          </cell>
          <cell r="F14">
            <v>193.01910599999999</v>
          </cell>
          <cell r="G14">
            <v>201.232685</v>
          </cell>
          <cell r="H14">
            <v>24.363094</v>
          </cell>
          <cell r="I14">
            <v>1366.3507709999999</v>
          </cell>
          <cell r="J14">
            <v>526.39921400000003</v>
          </cell>
          <cell r="K14">
            <v>713.93253600000003</v>
          </cell>
          <cell r="L14">
            <v>126.019021</v>
          </cell>
          <cell r="M14">
            <v>1584</v>
          </cell>
          <cell r="N14">
            <v>332</v>
          </cell>
          <cell r="O14">
            <v>120</v>
          </cell>
          <cell r="P14">
            <v>212</v>
          </cell>
          <cell r="Q14">
            <v>4</v>
          </cell>
          <cell r="R14">
            <v>1248</v>
          </cell>
          <cell r="S14">
            <v>448</v>
          </cell>
          <cell r="T14">
            <v>688</v>
          </cell>
          <cell r="U14">
            <v>112</v>
          </cell>
          <cell r="V14">
            <v>4649.4199529999996</v>
          </cell>
          <cell r="W14">
            <v>394.25179200000002</v>
          </cell>
          <cell r="X14">
            <v>193.01910599999999</v>
          </cell>
          <cell r="Y14">
            <v>201.232685</v>
          </cell>
          <cell r="Z14">
            <v>68.707813999999999</v>
          </cell>
          <cell r="AA14">
            <v>4186.4603470000002</v>
          </cell>
          <cell r="AB14">
            <v>1068.873008</v>
          </cell>
          <cell r="AC14">
            <v>2784.62689</v>
          </cell>
          <cell r="AD14">
            <v>332.96044899999998</v>
          </cell>
          <cell r="AE14">
            <v>4184</v>
          </cell>
          <cell r="AF14">
            <v>332</v>
          </cell>
          <cell r="AG14">
            <v>120</v>
          </cell>
          <cell r="AH14">
            <v>212</v>
          </cell>
          <cell r="AI14">
            <v>8</v>
          </cell>
          <cell r="AJ14">
            <v>3844</v>
          </cell>
          <cell r="AK14">
            <v>904</v>
          </cell>
          <cell r="AL14">
            <v>2660</v>
          </cell>
          <cell r="AM14">
            <v>280</v>
          </cell>
          <cell r="AN14">
            <v>1790</v>
          </cell>
          <cell r="AO14">
            <v>4670</v>
          </cell>
          <cell r="AP14">
            <v>1583</v>
          </cell>
          <cell r="AQ14">
            <v>4197</v>
          </cell>
          <cell r="AR14">
            <v>1330</v>
          </cell>
          <cell r="AS14">
            <v>3827</v>
          </cell>
          <cell r="AT14">
            <v>1177</v>
          </cell>
          <cell r="AU14">
            <v>3581</v>
          </cell>
          <cell r="AV14">
            <v>757</v>
          </cell>
          <cell r="AW14">
            <v>2400</v>
          </cell>
          <cell r="AX14">
            <v>535</v>
          </cell>
          <cell r="AY14">
            <v>1707</v>
          </cell>
          <cell r="AZ14">
            <v>3934.3455079999999</v>
          </cell>
          <cell r="BA14">
            <v>324.18687699999998</v>
          </cell>
          <cell r="BB14">
            <v>189.400239</v>
          </cell>
          <cell r="BC14">
            <v>982.29495699999995</v>
          </cell>
          <cell r="BD14">
            <v>1090.316904</v>
          </cell>
          <cell r="BE14">
            <v>511.66724399999998</v>
          </cell>
          <cell r="BF14">
            <v>503.93595599999998</v>
          </cell>
          <cell r="BG14">
            <v>332.54333200000002</v>
          </cell>
          <cell r="BH14">
            <v>306.18687699999998</v>
          </cell>
          <cell r="BI14">
            <v>186.400239</v>
          </cell>
          <cell r="BJ14">
            <v>981.29495699999995</v>
          </cell>
          <cell r="BK14">
            <v>1081.316904</v>
          </cell>
          <cell r="BL14">
            <v>496.66724399999998</v>
          </cell>
          <cell r="BM14">
            <v>433.93595599999998</v>
          </cell>
          <cell r="BN14">
            <v>116.54333200000001</v>
          </cell>
          <cell r="BO14">
            <v>0</v>
          </cell>
          <cell r="BP14">
            <v>14.373763</v>
          </cell>
          <cell r="BQ14">
            <v>81.109093000000001</v>
          </cell>
          <cell r="BR14">
            <v>77.002302999999998</v>
          </cell>
          <cell r="BS14">
            <v>71.868815999999995</v>
          </cell>
          <cell r="BT14">
            <v>91.376065999999994</v>
          </cell>
          <cell r="BU14">
            <v>62.628540000000001</v>
          </cell>
          <cell r="BV14">
            <v>6.0969670000000002</v>
          </cell>
          <cell r="BW14">
            <v>39.718330999999999</v>
          </cell>
          <cell r="BX14">
            <v>797.84137699999997</v>
          </cell>
          <cell r="BY14">
            <v>931.08833300000003</v>
          </cell>
          <cell r="BZ14">
            <v>431.69885799999997</v>
          </cell>
          <cell r="CA14">
            <v>359.342849</v>
          </cell>
          <cell r="CB14">
            <v>182.75236799999999</v>
          </cell>
          <cell r="CC14">
            <v>293</v>
          </cell>
          <cell r="CD14">
            <v>202</v>
          </cell>
          <cell r="CE14">
            <v>942</v>
          </cell>
          <cell r="CF14">
            <v>1001</v>
          </cell>
          <cell r="CG14">
            <v>350</v>
          </cell>
          <cell r="CH14">
            <v>395</v>
          </cell>
          <cell r="CI14">
            <v>96</v>
          </cell>
          <cell r="CJ14">
            <v>4</v>
          </cell>
          <cell r="CK14">
            <v>12</v>
          </cell>
          <cell r="CL14">
            <v>64</v>
          </cell>
          <cell r="CM14">
            <v>73</v>
          </cell>
          <cell r="CN14">
            <v>43</v>
          </cell>
          <cell r="CO14">
            <v>89</v>
          </cell>
          <cell r="CP14">
            <v>47</v>
          </cell>
          <cell r="CQ14">
            <v>2220.3375059999998</v>
          </cell>
          <cell r="CR14">
            <v>1155.225461</v>
          </cell>
          <cell r="CS14">
            <v>339.71078699999998</v>
          </cell>
          <cell r="CT14">
            <v>219.071753</v>
          </cell>
          <cell r="CU14">
            <v>8.0621410000000004</v>
          </cell>
          <cell r="CV14">
            <v>97.199528000000001</v>
          </cell>
          <cell r="CW14">
            <v>247.181093</v>
          </cell>
          <cell r="CX14">
            <v>356.44952899999998</v>
          </cell>
          <cell r="CY14">
            <v>239.82503299999999</v>
          </cell>
          <cell r="CZ14">
            <v>312.813222</v>
          </cell>
          <cell r="DA14">
            <v>478.36201199999999</v>
          </cell>
          <cell r="DB14">
            <v>45.073098999999999</v>
          </cell>
          <cell r="DC14">
            <v>32.248562999999997</v>
          </cell>
          <cell r="DD14">
            <v>315.03062499999999</v>
          </cell>
          <cell r="DE14">
            <v>779.74179800000002</v>
          </cell>
          <cell r="DF14">
            <v>1146.8522829999999</v>
          </cell>
          <cell r="DG14">
            <v>635.53279799999996</v>
          </cell>
          <cell r="DH14">
            <v>857.71905900000002</v>
          </cell>
          <cell r="DI14">
            <v>820.89615700000002</v>
          </cell>
          <cell r="DJ14">
            <v>61.398671</v>
          </cell>
          <cell r="DK14">
            <v>8</v>
          </cell>
          <cell r="DL14">
            <v>80</v>
          </cell>
          <cell r="DM14">
            <v>196</v>
          </cell>
          <cell r="DN14">
            <v>260</v>
          </cell>
          <cell r="DO14">
            <v>256</v>
          </cell>
          <cell r="DP14">
            <v>292</v>
          </cell>
          <cell r="DQ14">
            <v>428</v>
          </cell>
          <cell r="DR14">
            <v>64</v>
          </cell>
          <cell r="DS14">
            <v>1370.3569130000001</v>
          </cell>
          <cell r="DT14">
            <v>713.93253600000003</v>
          </cell>
          <cell r="DU14">
            <v>130.02516299999999</v>
          </cell>
          <cell r="DV14">
            <v>12.244179000000001</v>
          </cell>
          <cell r="DW14">
            <v>117.780984</v>
          </cell>
          <cell r="DX14">
            <v>526.39921400000003</v>
          </cell>
          <cell r="DY14">
            <v>1252</v>
          </cell>
          <cell r="DZ14">
            <v>688</v>
          </cell>
          <cell r="EA14">
            <v>116</v>
          </cell>
          <cell r="EB14">
            <v>0</v>
          </cell>
          <cell r="EC14">
            <v>116</v>
          </cell>
          <cell r="ED14">
            <v>448</v>
          </cell>
          <cell r="EE14">
            <v>579.23016900000005</v>
          </cell>
          <cell r="EF14">
            <v>251.68391099999999</v>
          </cell>
          <cell r="EG14">
            <v>407.31430999999998</v>
          </cell>
          <cell r="EH14">
            <v>120.18441900000001</v>
          </cell>
          <cell r="EI14">
            <v>11.944103999999999</v>
          </cell>
          <cell r="EJ14">
            <v>528</v>
          </cell>
          <cell r="EK14">
            <v>264</v>
          </cell>
          <cell r="EL14">
            <v>328</v>
          </cell>
          <cell r="EM14">
            <v>116</v>
          </cell>
          <cell r="EN14">
            <v>16</v>
          </cell>
        </row>
        <row r="15">
          <cell r="A15" t="str">
            <v>37151</v>
          </cell>
          <cell r="B15" t="str">
            <v>La Membrolle-sur-Choisille</v>
          </cell>
          <cell r="C15" t="str">
            <v>Tour(s)plus</v>
          </cell>
          <cell r="D15">
            <v>1051.358571</v>
          </cell>
          <cell r="E15">
            <v>192.42022299999999</v>
          </cell>
          <cell r="F15">
            <v>62.745725</v>
          </cell>
          <cell r="G15">
            <v>129.674498</v>
          </cell>
          <cell r="H15">
            <v>0</v>
          </cell>
          <cell r="I15">
            <v>858.93834800000002</v>
          </cell>
          <cell r="J15">
            <v>412.34178000000003</v>
          </cell>
          <cell r="K15">
            <v>377.737257</v>
          </cell>
          <cell r="L15">
            <v>68.859311000000005</v>
          </cell>
          <cell r="M15">
            <v>972</v>
          </cell>
          <cell r="N15">
            <v>168</v>
          </cell>
          <cell r="O15">
            <v>76</v>
          </cell>
          <cell r="P15">
            <v>92</v>
          </cell>
          <cell r="Q15">
            <v>16</v>
          </cell>
          <cell r="R15">
            <v>788</v>
          </cell>
          <cell r="S15">
            <v>304</v>
          </cell>
          <cell r="T15">
            <v>420</v>
          </cell>
          <cell r="U15">
            <v>64</v>
          </cell>
          <cell r="V15">
            <v>2657.129668</v>
          </cell>
          <cell r="W15">
            <v>192.42022299999999</v>
          </cell>
          <cell r="X15">
            <v>62.745725</v>
          </cell>
          <cell r="Y15">
            <v>129.674498</v>
          </cell>
          <cell r="Z15">
            <v>0</v>
          </cell>
          <cell r="AA15">
            <v>2464.709445</v>
          </cell>
          <cell r="AB15">
            <v>867.68687799999998</v>
          </cell>
          <cell r="AC15">
            <v>1427.6258700000001</v>
          </cell>
          <cell r="AD15">
            <v>169.39669599999999</v>
          </cell>
          <cell r="AE15">
            <v>2620</v>
          </cell>
          <cell r="AF15">
            <v>168</v>
          </cell>
          <cell r="AG15">
            <v>76</v>
          </cell>
          <cell r="AH15">
            <v>92</v>
          </cell>
          <cell r="AI15">
            <v>32</v>
          </cell>
          <cell r="AJ15">
            <v>2420</v>
          </cell>
          <cell r="AK15">
            <v>616</v>
          </cell>
          <cell r="AL15">
            <v>1620</v>
          </cell>
          <cell r="AM15">
            <v>184</v>
          </cell>
          <cell r="AN15">
            <v>1055</v>
          </cell>
          <cell r="AO15">
            <v>2684</v>
          </cell>
          <cell r="AP15">
            <v>968</v>
          </cell>
          <cell r="AQ15">
            <v>2568</v>
          </cell>
          <cell r="AR15">
            <v>812</v>
          </cell>
          <cell r="AS15">
            <v>2396</v>
          </cell>
          <cell r="AT15">
            <v>706</v>
          </cell>
          <cell r="AU15">
            <v>2297</v>
          </cell>
          <cell r="AV15">
            <v>482</v>
          </cell>
          <cell r="AW15">
            <v>1576</v>
          </cell>
          <cell r="AX15">
            <v>295</v>
          </cell>
          <cell r="AY15">
            <v>893</v>
          </cell>
          <cell r="AZ15">
            <v>2526.0724059999998</v>
          </cell>
          <cell r="BA15">
            <v>193.235263</v>
          </cell>
          <cell r="BB15">
            <v>109.831186</v>
          </cell>
          <cell r="BC15">
            <v>519.94872999999995</v>
          </cell>
          <cell r="BD15">
            <v>731.72280000000001</v>
          </cell>
          <cell r="BE15">
            <v>458.12790899999999</v>
          </cell>
          <cell r="BF15">
            <v>365.06667199999998</v>
          </cell>
          <cell r="BG15">
            <v>148.139847</v>
          </cell>
          <cell r="BH15">
            <v>180.235263</v>
          </cell>
          <cell r="BI15">
            <v>100.831186</v>
          </cell>
          <cell r="BJ15">
            <v>463.94873000000001</v>
          </cell>
          <cell r="BK15">
            <v>623.72280000000001</v>
          </cell>
          <cell r="BL15">
            <v>432.12790899999999</v>
          </cell>
          <cell r="BM15">
            <v>301.06667199999998</v>
          </cell>
          <cell r="BN15">
            <v>72.139847000000003</v>
          </cell>
          <cell r="BO15">
            <v>0</v>
          </cell>
          <cell r="BP15">
            <v>13.594906999999999</v>
          </cell>
          <cell r="BQ15">
            <v>26.144051999999999</v>
          </cell>
          <cell r="BR15">
            <v>39.738959000000001</v>
          </cell>
          <cell r="BS15">
            <v>31.372862000000001</v>
          </cell>
          <cell r="BT15">
            <v>48.105055999999998</v>
          </cell>
          <cell r="BU15">
            <v>31.372862000000001</v>
          </cell>
          <cell r="BV15">
            <v>1.0230399999999999</v>
          </cell>
          <cell r="BW15">
            <v>16.126552</v>
          </cell>
          <cell r="BX15">
            <v>392.60515900000001</v>
          </cell>
          <cell r="BY15">
            <v>582.67249200000003</v>
          </cell>
          <cell r="BZ15">
            <v>403.54687100000001</v>
          </cell>
          <cell r="CA15">
            <v>248.79451499999999</v>
          </cell>
          <cell r="CB15">
            <v>38.898111999999998</v>
          </cell>
          <cell r="CC15">
            <v>172</v>
          </cell>
          <cell r="CD15">
            <v>130</v>
          </cell>
          <cell r="CE15">
            <v>510</v>
          </cell>
          <cell r="CF15">
            <v>648</v>
          </cell>
          <cell r="CG15">
            <v>302</v>
          </cell>
          <cell r="CH15">
            <v>254</v>
          </cell>
          <cell r="CI15">
            <v>54</v>
          </cell>
          <cell r="CJ15">
            <v>2</v>
          </cell>
          <cell r="CK15">
            <v>12</v>
          </cell>
          <cell r="CL15">
            <v>30</v>
          </cell>
          <cell r="CM15">
            <v>29</v>
          </cell>
          <cell r="CN15">
            <v>19</v>
          </cell>
          <cell r="CO15">
            <v>40</v>
          </cell>
          <cell r="CP15">
            <v>33</v>
          </cell>
          <cell r="CQ15">
            <v>1475.381349</v>
          </cell>
          <cell r="CR15">
            <v>676.42807000000005</v>
          </cell>
          <cell r="CS15">
            <v>201.15940399999999</v>
          </cell>
          <cell r="CT15">
            <v>173.10358299999999</v>
          </cell>
          <cell r="CU15">
            <v>4.1830480000000003</v>
          </cell>
          <cell r="CV15">
            <v>83.830268000000004</v>
          </cell>
          <cell r="CW15">
            <v>175.937803</v>
          </cell>
          <cell r="CX15">
            <v>204.67999699999999</v>
          </cell>
          <cell r="CY15">
            <v>106.160758</v>
          </cell>
          <cell r="CZ15">
            <v>156.532646</v>
          </cell>
          <cell r="DA15">
            <v>307.84647899999999</v>
          </cell>
          <cell r="DB15">
            <v>12.187571999999999</v>
          </cell>
          <cell r="DC15">
            <v>4.1830480000000003</v>
          </cell>
          <cell r="DD15">
            <v>261.15729399999998</v>
          </cell>
          <cell r="DE15">
            <v>534.49509999999998</v>
          </cell>
          <cell r="DF15">
            <v>587.22285199999999</v>
          </cell>
          <cell r="DG15">
            <v>221.49517900000001</v>
          </cell>
          <cell r="DH15">
            <v>448.64952899999997</v>
          </cell>
          <cell r="DI15">
            <v>571.548272</v>
          </cell>
          <cell r="DJ15">
            <v>28.378394</v>
          </cell>
          <cell r="DK15">
            <v>4</v>
          </cell>
          <cell r="DL15">
            <v>76</v>
          </cell>
          <cell r="DM15">
            <v>128</v>
          </cell>
          <cell r="DN15">
            <v>188</v>
          </cell>
          <cell r="DO15">
            <v>112</v>
          </cell>
          <cell r="DP15">
            <v>156</v>
          </cell>
          <cell r="DQ15">
            <v>280</v>
          </cell>
          <cell r="DR15">
            <v>28</v>
          </cell>
          <cell r="DS15">
            <v>862.76952700000004</v>
          </cell>
          <cell r="DT15">
            <v>377.737257</v>
          </cell>
          <cell r="DU15">
            <v>72.690489999999997</v>
          </cell>
          <cell r="DV15">
            <v>12.187571999999999</v>
          </cell>
          <cell r="DW15">
            <v>60.502918000000001</v>
          </cell>
          <cell r="DX15">
            <v>412.34178000000003</v>
          </cell>
          <cell r="DY15">
            <v>796</v>
          </cell>
          <cell r="DZ15">
            <v>420</v>
          </cell>
          <cell r="EA15">
            <v>68</v>
          </cell>
          <cell r="EB15">
            <v>16</v>
          </cell>
          <cell r="EC15">
            <v>52</v>
          </cell>
          <cell r="ED15">
            <v>308</v>
          </cell>
          <cell r="EE15">
            <v>452.64487300000002</v>
          </cell>
          <cell r="EF15">
            <v>160.663445</v>
          </cell>
          <cell r="EG15">
            <v>184.327474</v>
          </cell>
          <cell r="EH15">
            <v>57.637858999999999</v>
          </cell>
          <cell r="EI15">
            <v>7.4958739999999997</v>
          </cell>
          <cell r="EJ15">
            <v>364</v>
          </cell>
          <cell r="EK15">
            <v>172</v>
          </cell>
          <cell r="EL15">
            <v>176</v>
          </cell>
          <cell r="EM15">
            <v>68</v>
          </cell>
          <cell r="EN15">
            <v>16</v>
          </cell>
        </row>
        <row r="16">
          <cell r="A16" t="str">
            <v>37152</v>
          </cell>
          <cell r="B16" t="str">
            <v>Mettray</v>
          </cell>
          <cell r="C16" t="str">
            <v>Tour(s)plus</v>
          </cell>
          <cell r="D16">
            <v>746.55579999999998</v>
          </cell>
          <cell r="E16">
            <v>142.261189</v>
          </cell>
          <cell r="F16">
            <v>62.239269999999998</v>
          </cell>
          <cell r="G16">
            <v>80.021918999999997</v>
          </cell>
          <cell r="H16">
            <v>12.526608</v>
          </cell>
          <cell r="I16">
            <v>591.76800300000002</v>
          </cell>
          <cell r="J16">
            <v>258.39121499999999</v>
          </cell>
          <cell r="K16">
            <v>284.26979299999999</v>
          </cell>
          <cell r="L16">
            <v>49.106994999999998</v>
          </cell>
          <cell r="M16">
            <v>716</v>
          </cell>
          <cell r="N16">
            <v>112</v>
          </cell>
          <cell r="O16">
            <v>52</v>
          </cell>
          <cell r="P16">
            <v>60</v>
          </cell>
          <cell r="Q16">
            <v>0</v>
          </cell>
          <cell r="R16">
            <v>604</v>
          </cell>
          <cell r="S16">
            <v>208</v>
          </cell>
          <cell r="T16">
            <v>348</v>
          </cell>
          <cell r="U16">
            <v>48</v>
          </cell>
          <cell r="V16">
            <v>1866.7216169999999</v>
          </cell>
          <cell r="W16">
            <v>142.261189</v>
          </cell>
          <cell r="X16">
            <v>62.239269999999998</v>
          </cell>
          <cell r="Y16">
            <v>80.021918999999997</v>
          </cell>
          <cell r="Z16">
            <v>25.053215000000002</v>
          </cell>
          <cell r="AA16">
            <v>1699.407213</v>
          </cell>
          <cell r="AB16">
            <v>524.14948300000003</v>
          </cell>
          <cell r="AC16">
            <v>1061.833042</v>
          </cell>
          <cell r="AD16">
            <v>113.424688</v>
          </cell>
          <cell r="AE16">
            <v>2044</v>
          </cell>
          <cell r="AF16">
            <v>112</v>
          </cell>
          <cell r="AG16">
            <v>52</v>
          </cell>
          <cell r="AH16">
            <v>60</v>
          </cell>
          <cell r="AI16">
            <v>0</v>
          </cell>
          <cell r="AJ16">
            <v>1932</v>
          </cell>
          <cell r="AK16">
            <v>436</v>
          </cell>
          <cell r="AL16">
            <v>1344</v>
          </cell>
          <cell r="AM16">
            <v>152</v>
          </cell>
          <cell r="AN16">
            <v>748</v>
          </cell>
          <cell r="AO16">
            <v>1864</v>
          </cell>
          <cell r="AP16">
            <v>716</v>
          </cell>
          <cell r="AQ16">
            <v>2006</v>
          </cell>
          <cell r="AR16">
            <v>631</v>
          </cell>
          <cell r="AS16">
            <v>1903</v>
          </cell>
          <cell r="AT16">
            <v>415</v>
          </cell>
          <cell r="AU16">
            <v>1288</v>
          </cell>
          <cell r="AV16">
            <v>310</v>
          </cell>
          <cell r="AW16">
            <v>972</v>
          </cell>
          <cell r="AX16">
            <v>287</v>
          </cell>
          <cell r="AY16">
            <v>959</v>
          </cell>
          <cell r="AZ16">
            <v>1568.872239</v>
          </cell>
          <cell r="BA16">
            <v>161.07831899999999</v>
          </cell>
          <cell r="BB16">
            <v>94.180569000000006</v>
          </cell>
          <cell r="BC16">
            <v>289.21491700000001</v>
          </cell>
          <cell r="BD16">
            <v>534.68657399999995</v>
          </cell>
          <cell r="BE16">
            <v>247.93652599999999</v>
          </cell>
          <cell r="BF16">
            <v>190.80714699999999</v>
          </cell>
          <cell r="BG16">
            <v>50.968187999999998</v>
          </cell>
          <cell r="BH16">
            <v>143.07831899999999</v>
          </cell>
          <cell r="BI16">
            <v>94.180569000000006</v>
          </cell>
          <cell r="BJ16">
            <v>289.21491700000001</v>
          </cell>
          <cell r="BK16">
            <v>534.68657399999995</v>
          </cell>
          <cell r="BL16">
            <v>247.93652599999999</v>
          </cell>
          <cell r="BM16">
            <v>190.80714699999999</v>
          </cell>
          <cell r="BN16">
            <v>50.968187999999998</v>
          </cell>
          <cell r="BO16">
            <v>0</v>
          </cell>
          <cell r="BP16">
            <v>2.2228309999999998</v>
          </cell>
          <cell r="BQ16">
            <v>27.785388000000001</v>
          </cell>
          <cell r="BR16">
            <v>31.119634999999999</v>
          </cell>
          <cell r="BS16">
            <v>14.448402</v>
          </cell>
          <cell r="BT16">
            <v>50.013699000000003</v>
          </cell>
          <cell r="BU16">
            <v>21.116895</v>
          </cell>
          <cell r="BV16">
            <v>0</v>
          </cell>
          <cell r="BW16">
            <v>26.324124000000001</v>
          </cell>
          <cell r="BX16">
            <v>215.161023</v>
          </cell>
          <cell r="BY16">
            <v>473.69435099999998</v>
          </cell>
          <cell r="BZ16">
            <v>224.403085</v>
          </cell>
          <cell r="CA16">
            <v>137.86438999999999</v>
          </cell>
          <cell r="CB16">
            <v>28.874941</v>
          </cell>
          <cell r="CC16">
            <v>168</v>
          </cell>
          <cell r="CD16">
            <v>93</v>
          </cell>
          <cell r="CE16">
            <v>392</v>
          </cell>
          <cell r="CF16">
            <v>558</v>
          </cell>
          <cell r="CG16">
            <v>172</v>
          </cell>
          <cell r="CH16">
            <v>162</v>
          </cell>
          <cell r="CI16">
            <v>32</v>
          </cell>
          <cell r="CJ16">
            <v>0</v>
          </cell>
          <cell r="CK16">
            <v>1</v>
          </cell>
          <cell r="CL16">
            <v>25</v>
          </cell>
          <cell r="CM16">
            <v>22</v>
          </cell>
          <cell r="CN16">
            <v>17</v>
          </cell>
          <cell r="CO16">
            <v>38</v>
          </cell>
          <cell r="CP16">
            <v>11</v>
          </cell>
          <cell r="CQ16">
            <v>955.03026</v>
          </cell>
          <cell r="CR16">
            <v>433.695492</v>
          </cell>
          <cell r="CS16">
            <v>93.587633999999994</v>
          </cell>
          <cell r="CT16">
            <v>86.558853999999997</v>
          </cell>
          <cell r="CU16">
            <v>7.6053490000000004</v>
          </cell>
          <cell r="CV16">
            <v>51.822915000000002</v>
          </cell>
          <cell r="CW16">
            <v>146.044894</v>
          </cell>
          <cell r="CX16">
            <v>117.76839</v>
          </cell>
          <cell r="CY16">
            <v>60.682409999999997</v>
          </cell>
          <cell r="CZ16">
            <v>129.29010600000001</v>
          </cell>
          <cell r="DA16">
            <v>229.1662</v>
          </cell>
          <cell r="DB16">
            <v>4.1755360000000001</v>
          </cell>
          <cell r="DC16">
            <v>26.499573000000002</v>
          </cell>
          <cell r="DD16">
            <v>140.43384599999999</v>
          </cell>
          <cell r="DE16">
            <v>416.08061500000002</v>
          </cell>
          <cell r="DF16">
            <v>345.79041599999999</v>
          </cell>
          <cell r="DG16">
            <v>150.261944</v>
          </cell>
          <cell r="DH16">
            <v>384.29517099999998</v>
          </cell>
          <cell r="DI16">
            <v>395.00898100000001</v>
          </cell>
          <cell r="DJ16">
            <v>8.3510720000000003</v>
          </cell>
          <cell r="DK16">
            <v>12</v>
          </cell>
          <cell r="DL16">
            <v>64</v>
          </cell>
          <cell r="DM16">
            <v>104</v>
          </cell>
          <cell r="DN16">
            <v>136</v>
          </cell>
          <cell r="DO16">
            <v>64</v>
          </cell>
          <cell r="DP16">
            <v>144</v>
          </cell>
          <cell r="DQ16">
            <v>164</v>
          </cell>
          <cell r="DR16">
            <v>28</v>
          </cell>
          <cell r="DS16">
            <v>595.01749400000006</v>
          </cell>
          <cell r="DT16">
            <v>287.51928400000003</v>
          </cell>
          <cell r="DU16">
            <v>49.106994999999998</v>
          </cell>
          <cell r="DV16">
            <v>3.6835260000000001</v>
          </cell>
          <cell r="DW16">
            <v>45.423468999999997</v>
          </cell>
          <cell r="DX16">
            <v>258.39121499999999</v>
          </cell>
          <cell r="DY16">
            <v>612</v>
          </cell>
          <cell r="DZ16">
            <v>348</v>
          </cell>
          <cell r="EA16">
            <v>52</v>
          </cell>
          <cell r="EB16">
            <v>8</v>
          </cell>
          <cell r="EC16">
            <v>44</v>
          </cell>
          <cell r="ED16">
            <v>212</v>
          </cell>
          <cell r="EE16">
            <v>278.50775599999997</v>
          </cell>
          <cell r="EF16">
            <v>156.827651</v>
          </cell>
          <cell r="EG16">
            <v>118.349429</v>
          </cell>
          <cell r="EH16">
            <v>38.280611999999998</v>
          </cell>
          <cell r="EI16">
            <v>3.0520459999999998</v>
          </cell>
          <cell r="EJ16">
            <v>228</v>
          </cell>
          <cell r="EK16">
            <v>148</v>
          </cell>
          <cell r="EL16">
            <v>172</v>
          </cell>
          <cell r="EM16">
            <v>48</v>
          </cell>
          <cell r="EN16">
            <v>16</v>
          </cell>
        </row>
        <row r="17">
          <cell r="A17" t="str">
            <v>37153</v>
          </cell>
          <cell r="B17" t="str">
            <v>Monnaie</v>
          </cell>
          <cell r="C17" t="str">
            <v>Vouvrillon</v>
          </cell>
          <cell r="D17">
            <v>1391.230321</v>
          </cell>
          <cell r="E17">
            <v>259.38192400000003</v>
          </cell>
          <cell r="F17">
            <v>129.69096200000001</v>
          </cell>
          <cell r="G17">
            <v>129.69096200000001</v>
          </cell>
          <cell r="H17">
            <v>35.370261999999997</v>
          </cell>
          <cell r="I17">
            <v>1096.478134</v>
          </cell>
          <cell r="J17">
            <v>412.65306099999998</v>
          </cell>
          <cell r="K17">
            <v>581.64431500000001</v>
          </cell>
          <cell r="L17">
            <v>102.180758</v>
          </cell>
          <cell r="M17">
            <v>1160</v>
          </cell>
          <cell r="N17">
            <v>220</v>
          </cell>
          <cell r="O17">
            <v>92</v>
          </cell>
          <cell r="P17">
            <v>128</v>
          </cell>
          <cell r="Q17">
            <v>32</v>
          </cell>
          <cell r="R17">
            <v>908</v>
          </cell>
          <cell r="S17">
            <v>300</v>
          </cell>
          <cell r="T17">
            <v>560</v>
          </cell>
          <cell r="U17">
            <v>48</v>
          </cell>
          <cell r="V17">
            <v>3698.1574340000002</v>
          </cell>
          <cell r="W17">
            <v>259.38192400000003</v>
          </cell>
          <cell r="X17">
            <v>129.69096200000001</v>
          </cell>
          <cell r="Y17">
            <v>129.69096200000001</v>
          </cell>
          <cell r="Z17">
            <v>78.600583</v>
          </cell>
          <cell r="AA17">
            <v>3360.174927</v>
          </cell>
          <cell r="AB17">
            <v>841.02623900000003</v>
          </cell>
          <cell r="AC17">
            <v>2232.2565599999998</v>
          </cell>
          <cell r="AD17">
            <v>286.89212800000001</v>
          </cell>
          <cell r="AE17">
            <v>3236</v>
          </cell>
          <cell r="AF17">
            <v>220</v>
          </cell>
          <cell r="AG17">
            <v>92</v>
          </cell>
          <cell r="AH17">
            <v>128</v>
          </cell>
          <cell r="AI17">
            <v>68</v>
          </cell>
          <cell r="AJ17">
            <v>2948</v>
          </cell>
          <cell r="AK17">
            <v>624</v>
          </cell>
          <cell r="AL17">
            <v>2196</v>
          </cell>
          <cell r="AM17">
            <v>128</v>
          </cell>
          <cell r="AN17">
            <v>1388.2827990000001</v>
          </cell>
          <cell r="AO17">
            <v>3707</v>
          </cell>
          <cell r="AP17">
            <v>1161</v>
          </cell>
          <cell r="AQ17">
            <v>3250</v>
          </cell>
          <cell r="AR17">
            <v>977</v>
          </cell>
          <cell r="AS17">
            <v>2809</v>
          </cell>
          <cell r="AT17">
            <v>778</v>
          </cell>
          <cell r="AU17">
            <v>2240</v>
          </cell>
          <cell r="AV17">
            <v>620</v>
          </cell>
          <cell r="AW17">
            <v>1886</v>
          </cell>
          <cell r="AX17">
            <v>573</v>
          </cell>
          <cell r="AY17">
            <v>1804</v>
          </cell>
          <cell r="AZ17">
            <v>2883.8650600000001</v>
          </cell>
          <cell r="BA17">
            <v>235.801749</v>
          </cell>
          <cell r="BB17">
            <v>147.376093</v>
          </cell>
          <cell r="BC17">
            <v>820.39358600000003</v>
          </cell>
          <cell r="BD17">
            <v>889.17247599999996</v>
          </cell>
          <cell r="BE17">
            <v>372.37364200000002</v>
          </cell>
          <cell r="BF17">
            <v>264.33839799999998</v>
          </cell>
          <cell r="BG17">
            <v>154.40911500000001</v>
          </cell>
          <cell r="BH17">
            <v>235.801749</v>
          </cell>
          <cell r="BI17">
            <v>147.376093</v>
          </cell>
          <cell r="BJ17">
            <v>820.39358600000003</v>
          </cell>
          <cell r="BK17">
            <v>888.18658900000003</v>
          </cell>
          <cell r="BL17">
            <v>371.38775500000003</v>
          </cell>
          <cell r="BM17">
            <v>251.52186599999999</v>
          </cell>
          <cell r="BN17">
            <v>109.05830899999999</v>
          </cell>
          <cell r="BO17">
            <v>0</v>
          </cell>
          <cell r="BP17">
            <v>2.9475220000000002</v>
          </cell>
          <cell r="BQ17">
            <v>52.072885999999997</v>
          </cell>
          <cell r="BR17">
            <v>58.950437000000001</v>
          </cell>
          <cell r="BS17">
            <v>58.950437000000001</v>
          </cell>
          <cell r="BT17">
            <v>43.230321000000004</v>
          </cell>
          <cell r="BU17">
            <v>40.282798999999997</v>
          </cell>
          <cell r="BV17">
            <v>5.8950440000000004</v>
          </cell>
          <cell r="BW17">
            <v>49.125363999999998</v>
          </cell>
          <cell r="BX17">
            <v>705.44023300000003</v>
          </cell>
          <cell r="BY17">
            <v>766.35568499999999</v>
          </cell>
          <cell r="BZ17">
            <v>297.69970799999999</v>
          </cell>
          <cell r="CA17">
            <v>195.51894999999999</v>
          </cell>
          <cell r="CB17">
            <v>58.963957000000001</v>
          </cell>
          <cell r="CC17">
            <v>241</v>
          </cell>
          <cell r="CD17">
            <v>162</v>
          </cell>
          <cell r="CE17">
            <v>787</v>
          </cell>
          <cell r="CF17">
            <v>737</v>
          </cell>
          <cell r="CG17">
            <v>225</v>
          </cell>
          <cell r="CH17">
            <v>268</v>
          </cell>
          <cell r="CI17">
            <v>71</v>
          </cell>
          <cell r="CJ17">
            <v>2</v>
          </cell>
          <cell r="CK17">
            <v>10</v>
          </cell>
          <cell r="CL17">
            <v>51</v>
          </cell>
          <cell r="CM17">
            <v>48</v>
          </cell>
          <cell r="CN17">
            <v>21</v>
          </cell>
          <cell r="CO17">
            <v>63</v>
          </cell>
          <cell r="CP17">
            <v>30</v>
          </cell>
          <cell r="CQ17">
            <v>1643.7786309999999</v>
          </cell>
          <cell r="CR17">
            <v>885.24582699999996</v>
          </cell>
          <cell r="CS17">
            <v>177.98591099999999</v>
          </cell>
          <cell r="CT17">
            <v>176.854692</v>
          </cell>
          <cell r="CU17">
            <v>7.8600580000000004</v>
          </cell>
          <cell r="CV17">
            <v>78.600583</v>
          </cell>
          <cell r="CW17">
            <v>141.48105000000001</v>
          </cell>
          <cell r="CX17">
            <v>290.822157</v>
          </cell>
          <cell r="CY17">
            <v>121.830904</v>
          </cell>
          <cell r="CZ17">
            <v>385.14285699999999</v>
          </cell>
          <cell r="DA17">
            <v>334.05247800000001</v>
          </cell>
          <cell r="DB17">
            <v>31.440232999999999</v>
          </cell>
          <cell r="DC17">
            <v>15.720117</v>
          </cell>
          <cell r="DD17">
            <v>231.87172000000001</v>
          </cell>
          <cell r="DE17">
            <v>455.88338199999998</v>
          </cell>
          <cell r="DF17">
            <v>793.86588900000004</v>
          </cell>
          <cell r="DG17">
            <v>357.632653</v>
          </cell>
          <cell r="DH17">
            <v>1151.498542</v>
          </cell>
          <cell r="DI17">
            <v>609.15451900000005</v>
          </cell>
          <cell r="DJ17">
            <v>82.530612000000005</v>
          </cell>
          <cell r="DK17">
            <v>24</v>
          </cell>
          <cell r="DL17">
            <v>52</v>
          </cell>
          <cell r="DM17">
            <v>104</v>
          </cell>
          <cell r="DN17">
            <v>208</v>
          </cell>
          <cell r="DO17">
            <v>124</v>
          </cell>
          <cell r="DP17">
            <v>320</v>
          </cell>
          <cell r="DQ17">
            <v>268</v>
          </cell>
          <cell r="DR17">
            <v>60</v>
          </cell>
          <cell r="DS17">
            <v>1100.4081630000001</v>
          </cell>
          <cell r="DT17">
            <v>581.64431500000001</v>
          </cell>
          <cell r="DU17">
            <v>106.110787</v>
          </cell>
          <cell r="DV17">
            <v>27.510204000000002</v>
          </cell>
          <cell r="DW17">
            <v>78.600583</v>
          </cell>
          <cell r="DX17">
            <v>412.65306099999998</v>
          </cell>
          <cell r="DY17">
            <v>912</v>
          </cell>
          <cell r="DZ17">
            <v>560</v>
          </cell>
          <cell r="EA17">
            <v>52</v>
          </cell>
          <cell r="EB17">
            <v>16</v>
          </cell>
          <cell r="EC17">
            <v>36</v>
          </cell>
          <cell r="ED17">
            <v>300</v>
          </cell>
          <cell r="EE17">
            <v>436.23323599999998</v>
          </cell>
          <cell r="EF17">
            <v>243.66180800000001</v>
          </cell>
          <cell r="EG17">
            <v>310.47230300000001</v>
          </cell>
          <cell r="EH17">
            <v>98.250729000000007</v>
          </cell>
          <cell r="EI17">
            <v>11.790087</v>
          </cell>
          <cell r="EJ17">
            <v>360</v>
          </cell>
          <cell r="EK17">
            <v>180</v>
          </cell>
          <cell r="EL17">
            <v>256</v>
          </cell>
          <cell r="EM17">
            <v>84</v>
          </cell>
          <cell r="EN17">
            <v>32</v>
          </cell>
        </row>
        <row r="18">
          <cell r="A18" t="str">
            <v>37154</v>
          </cell>
          <cell r="B18" t="str">
            <v>Montbazon</v>
          </cell>
          <cell r="C18" t="str">
            <v>CC du Val de l'Indre</v>
          </cell>
          <cell r="D18">
            <v>1578.14735</v>
          </cell>
          <cell r="E18">
            <v>354.88149299999998</v>
          </cell>
          <cell r="F18">
            <v>159.69667200000001</v>
          </cell>
          <cell r="G18">
            <v>195.184821</v>
          </cell>
          <cell r="H18">
            <v>21.597079000000001</v>
          </cell>
          <cell r="I18">
            <v>1201.668778</v>
          </cell>
          <cell r="J18">
            <v>552.382927</v>
          </cell>
          <cell r="K18">
            <v>576.04075</v>
          </cell>
          <cell r="L18">
            <v>73.245101000000005</v>
          </cell>
          <cell r="M18">
            <v>1316</v>
          </cell>
          <cell r="N18">
            <v>272</v>
          </cell>
          <cell r="O18">
            <v>84</v>
          </cell>
          <cell r="P18">
            <v>188</v>
          </cell>
          <cell r="Q18">
            <v>8</v>
          </cell>
          <cell r="R18">
            <v>1036</v>
          </cell>
          <cell r="S18">
            <v>436</v>
          </cell>
          <cell r="T18">
            <v>508</v>
          </cell>
          <cell r="U18">
            <v>92</v>
          </cell>
          <cell r="V18">
            <v>3899.226334</v>
          </cell>
          <cell r="W18">
            <v>354.88149299999998</v>
          </cell>
          <cell r="X18">
            <v>159.69667200000001</v>
          </cell>
          <cell r="Y18">
            <v>195.184821</v>
          </cell>
          <cell r="Z18">
            <v>51.571883</v>
          </cell>
          <cell r="AA18">
            <v>3492.772958</v>
          </cell>
          <cell r="AB18">
            <v>1121.682937</v>
          </cell>
          <cell r="AC18">
            <v>2186.3343420000001</v>
          </cell>
          <cell r="AD18">
            <v>184.75567899999999</v>
          </cell>
          <cell r="AE18">
            <v>3312</v>
          </cell>
          <cell r="AF18">
            <v>272</v>
          </cell>
          <cell r="AG18">
            <v>84</v>
          </cell>
          <cell r="AH18">
            <v>188</v>
          </cell>
          <cell r="AI18">
            <v>16</v>
          </cell>
          <cell r="AJ18">
            <v>3024</v>
          </cell>
          <cell r="AK18">
            <v>872</v>
          </cell>
          <cell r="AL18">
            <v>1920</v>
          </cell>
          <cell r="AM18">
            <v>232</v>
          </cell>
          <cell r="AN18">
            <v>1587</v>
          </cell>
          <cell r="AO18">
            <v>3909</v>
          </cell>
          <cell r="AP18">
            <v>1319</v>
          </cell>
          <cell r="AQ18">
            <v>3385</v>
          </cell>
          <cell r="AR18">
            <v>1164</v>
          </cell>
          <cell r="AS18">
            <v>3310</v>
          </cell>
          <cell r="AT18">
            <v>1002</v>
          </cell>
          <cell r="AU18">
            <v>2968</v>
          </cell>
          <cell r="AV18">
            <v>784</v>
          </cell>
          <cell r="AW18">
            <v>2416</v>
          </cell>
          <cell r="AX18">
            <v>631</v>
          </cell>
          <cell r="AY18">
            <v>1864</v>
          </cell>
          <cell r="AZ18">
            <v>3165.9550399999998</v>
          </cell>
          <cell r="BA18">
            <v>234.641323</v>
          </cell>
          <cell r="BB18">
            <v>192.294307</v>
          </cell>
          <cell r="BC18">
            <v>788.78518799999995</v>
          </cell>
          <cell r="BD18">
            <v>837.92954199999997</v>
          </cell>
          <cell r="BE18">
            <v>482.05630300000001</v>
          </cell>
          <cell r="BF18">
            <v>477.68782800000002</v>
          </cell>
          <cell r="BG18">
            <v>152.56055000000001</v>
          </cell>
          <cell r="BH18">
            <v>234.641323</v>
          </cell>
          <cell r="BI18">
            <v>192.294307</v>
          </cell>
          <cell r="BJ18">
            <v>788.78518799999995</v>
          </cell>
          <cell r="BK18">
            <v>837.92954199999997</v>
          </cell>
          <cell r="BL18">
            <v>481.05630300000001</v>
          </cell>
          <cell r="BM18">
            <v>468.68782800000002</v>
          </cell>
          <cell r="BN18">
            <v>118.56055000000001</v>
          </cell>
          <cell r="BO18">
            <v>2.2180089999999999</v>
          </cell>
          <cell r="BP18">
            <v>22.180092999999999</v>
          </cell>
          <cell r="BQ18">
            <v>63.213265999999997</v>
          </cell>
          <cell r="BR18">
            <v>57.668242999999997</v>
          </cell>
          <cell r="BS18">
            <v>57.668242999999997</v>
          </cell>
          <cell r="BT18">
            <v>96.483406000000002</v>
          </cell>
          <cell r="BU18">
            <v>66.540279999999996</v>
          </cell>
          <cell r="BV18">
            <v>5.3794630000000003</v>
          </cell>
          <cell r="BW18">
            <v>56.248379</v>
          </cell>
          <cell r="BX18">
            <v>635.97904800000003</v>
          </cell>
          <cell r="BY18">
            <v>708.32959700000004</v>
          </cell>
          <cell r="BZ18">
            <v>402.81877200000002</v>
          </cell>
          <cell r="CA18">
            <v>357.07560699999999</v>
          </cell>
          <cell r="CB18">
            <v>48.595562999999999</v>
          </cell>
          <cell r="CC18">
            <v>234</v>
          </cell>
          <cell r="CD18">
            <v>192</v>
          </cell>
          <cell r="CE18">
            <v>659</v>
          </cell>
          <cell r="CF18">
            <v>794</v>
          </cell>
          <cell r="CG18">
            <v>387</v>
          </cell>
          <cell r="CH18">
            <v>388</v>
          </cell>
          <cell r="CI18">
            <v>84</v>
          </cell>
          <cell r="CJ18">
            <v>1</v>
          </cell>
          <cell r="CK18">
            <v>14</v>
          </cell>
          <cell r="CL18">
            <v>46</v>
          </cell>
          <cell r="CM18">
            <v>43</v>
          </cell>
          <cell r="CN18">
            <v>35</v>
          </cell>
          <cell r="CO18">
            <v>89</v>
          </cell>
          <cell r="CP18">
            <v>40</v>
          </cell>
          <cell r="CQ18">
            <v>1873.448954</v>
          </cell>
          <cell r="CR18">
            <v>839.30046900000002</v>
          </cell>
          <cell r="CS18">
            <v>249.01640599999999</v>
          </cell>
          <cell r="CT18">
            <v>204.189211</v>
          </cell>
          <cell r="CU18">
            <v>0</v>
          </cell>
          <cell r="CV18">
            <v>98.229208999999997</v>
          </cell>
          <cell r="CW18">
            <v>179.30482799999999</v>
          </cell>
          <cell r="CX18">
            <v>295.45010500000001</v>
          </cell>
          <cell r="CY18">
            <v>171.97641899999999</v>
          </cell>
          <cell r="CZ18">
            <v>261.187228</v>
          </cell>
          <cell r="DA18">
            <v>541.60967100000005</v>
          </cell>
          <cell r="DB18">
            <v>30.389890000000001</v>
          </cell>
          <cell r="DC18">
            <v>0</v>
          </cell>
          <cell r="DD18">
            <v>291.89904100000001</v>
          </cell>
          <cell r="DE18">
            <v>535.91971599999999</v>
          </cell>
          <cell r="DF18">
            <v>836.64489000000003</v>
          </cell>
          <cell r="DG18">
            <v>451.223052</v>
          </cell>
          <cell r="DH18">
            <v>740.60723199999995</v>
          </cell>
          <cell r="DI18">
            <v>978.70523000000003</v>
          </cell>
          <cell r="DJ18">
            <v>64.227174000000005</v>
          </cell>
          <cell r="DK18">
            <v>0</v>
          </cell>
          <cell r="DL18">
            <v>80</v>
          </cell>
          <cell r="DM18">
            <v>172</v>
          </cell>
          <cell r="DN18">
            <v>188</v>
          </cell>
          <cell r="DO18">
            <v>112</v>
          </cell>
          <cell r="DP18">
            <v>288</v>
          </cell>
          <cell r="DQ18">
            <v>432</v>
          </cell>
          <cell r="DR18">
            <v>44</v>
          </cell>
          <cell r="DS18">
            <v>1205.8576410000001</v>
          </cell>
          <cell r="DT18">
            <v>576.04075</v>
          </cell>
          <cell r="DU18">
            <v>73.245101000000005</v>
          </cell>
          <cell r="DV18">
            <v>4.3520539999999999</v>
          </cell>
          <cell r="DW18">
            <v>68.893046999999996</v>
          </cell>
          <cell r="DX18">
            <v>556.57178999999996</v>
          </cell>
          <cell r="DY18">
            <v>1036</v>
          </cell>
          <cell r="DZ18">
            <v>508</v>
          </cell>
          <cell r="EA18">
            <v>92</v>
          </cell>
          <cell r="EB18">
            <v>16</v>
          </cell>
          <cell r="EC18">
            <v>76</v>
          </cell>
          <cell r="ED18">
            <v>436</v>
          </cell>
          <cell r="EE18">
            <v>586.46109999999999</v>
          </cell>
          <cell r="EF18">
            <v>277.94567499999999</v>
          </cell>
          <cell r="EG18">
            <v>243.359645</v>
          </cell>
          <cell r="EH18">
            <v>74.051659000000001</v>
          </cell>
          <cell r="EI18">
            <v>24.039560999999999</v>
          </cell>
          <cell r="EJ18">
            <v>472</v>
          </cell>
          <cell r="EK18">
            <v>256</v>
          </cell>
          <cell r="EL18">
            <v>208</v>
          </cell>
          <cell r="EM18">
            <v>84</v>
          </cell>
          <cell r="EN18">
            <v>16</v>
          </cell>
        </row>
        <row r="19">
          <cell r="A19" t="str">
            <v>37156</v>
          </cell>
          <cell r="B19" t="str">
            <v>Montlouis-sur-Loire</v>
          </cell>
          <cell r="C19" t="str">
            <v>CC de l'Est Tourangeau</v>
          </cell>
          <cell r="D19">
            <v>3967.9517209999999</v>
          </cell>
          <cell r="E19">
            <v>887.04709100000002</v>
          </cell>
          <cell r="F19">
            <v>308.88246900000001</v>
          </cell>
          <cell r="G19">
            <v>578.16462200000001</v>
          </cell>
          <cell r="H19">
            <v>55.440443000000002</v>
          </cell>
          <cell r="I19">
            <v>3025.464187</v>
          </cell>
          <cell r="J19">
            <v>1283.0502570000001</v>
          </cell>
          <cell r="K19">
            <v>1477.0918079999999</v>
          </cell>
          <cell r="L19">
            <v>265.32212099999998</v>
          </cell>
          <cell r="M19">
            <v>3452</v>
          </cell>
          <cell r="N19">
            <v>664</v>
          </cell>
          <cell r="O19">
            <v>272</v>
          </cell>
          <cell r="P19">
            <v>392</v>
          </cell>
          <cell r="Q19">
            <v>20</v>
          </cell>
          <cell r="R19">
            <v>2768</v>
          </cell>
          <cell r="S19">
            <v>1032</v>
          </cell>
          <cell r="T19">
            <v>1500</v>
          </cell>
          <cell r="U19">
            <v>236</v>
          </cell>
          <cell r="V19">
            <v>10022.840126999999</v>
          </cell>
          <cell r="W19">
            <v>887.04709100000002</v>
          </cell>
          <cell r="X19">
            <v>308.88246900000001</v>
          </cell>
          <cell r="Y19">
            <v>578.16462200000001</v>
          </cell>
          <cell r="Z19">
            <v>110.880886</v>
          </cell>
          <cell r="AA19">
            <v>9024.9121489999998</v>
          </cell>
          <cell r="AB19">
            <v>2617.5809260000001</v>
          </cell>
          <cell r="AC19">
            <v>5710.3656510000001</v>
          </cell>
          <cell r="AD19">
            <v>696.96557199999995</v>
          </cell>
          <cell r="AE19">
            <v>9364</v>
          </cell>
          <cell r="AF19">
            <v>664</v>
          </cell>
          <cell r="AG19">
            <v>272</v>
          </cell>
          <cell r="AH19">
            <v>392</v>
          </cell>
          <cell r="AI19">
            <v>40</v>
          </cell>
          <cell r="AJ19">
            <v>8660</v>
          </cell>
          <cell r="AK19">
            <v>2156</v>
          </cell>
          <cell r="AL19">
            <v>5856</v>
          </cell>
          <cell r="AM19">
            <v>648</v>
          </cell>
          <cell r="AN19">
            <v>3963.9916899999998</v>
          </cell>
          <cell r="AO19">
            <v>10007</v>
          </cell>
          <cell r="AP19">
            <v>3447</v>
          </cell>
          <cell r="AQ19">
            <v>9297</v>
          </cell>
          <cell r="AR19">
            <v>2822</v>
          </cell>
          <cell r="AS19">
            <v>8091</v>
          </cell>
          <cell r="AT19">
            <v>2245</v>
          </cell>
          <cell r="AU19">
            <v>6752</v>
          </cell>
          <cell r="AV19">
            <v>1683</v>
          </cell>
          <cell r="AW19">
            <v>5523</v>
          </cell>
          <cell r="AX19">
            <v>1223</v>
          </cell>
          <cell r="AY19">
            <v>4087</v>
          </cell>
          <cell r="AZ19">
            <v>8173.108577</v>
          </cell>
          <cell r="BA19">
            <v>734.75573799999995</v>
          </cell>
          <cell r="BB19">
            <v>462.48357700000003</v>
          </cell>
          <cell r="BC19">
            <v>1900.124951</v>
          </cell>
          <cell r="BD19">
            <v>2263.3279579999999</v>
          </cell>
          <cell r="BE19">
            <v>1250.488638</v>
          </cell>
          <cell r="BF19">
            <v>1102.2341690000001</v>
          </cell>
          <cell r="BG19">
            <v>459.69354700000002</v>
          </cell>
          <cell r="BH19">
            <v>717.75573799999995</v>
          </cell>
          <cell r="BI19">
            <v>447.48357700000003</v>
          </cell>
          <cell r="BJ19">
            <v>1870.124951</v>
          </cell>
          <cell r="BK19">
            <v>2246.3279579999999</v>
          </cell>
          <cell r="BL19">
            <v>1240.4799169999999</v>
          </cell>
          <cell r="BM19">
            <v>1074.1585869999999</v>
          </cell>
          <cell r="BN19">
            <v>356.402849</v>
          </cell>
          <cell r="BO19">
            <v>1.980016</v>
          </cell>
          <cell r="BP19">
            <v>42.570340000000002</v>
          </cell>
          <cell r="BQ19">
            <v>140.58112399999999</v>
          </cell>
          <cell r="BR19">
            <v>165.331322</v>
          </cell>
          <cell r="BS19">
            <v>145.53116299999999</v>
          </cell>
          <cell r="BT19">
            <v>221.76177300000001</v>
          </cell>
          <cell r="BU19">
            <v>167.31133800000001</v>
          </cell>
          <cell r="BV19">
            <v>5.960032</v>
          </cell>
          <cell r="BW19">
            <v>143.621092</v>
          </cell>
          <cell r="BX19">
            <v>1541.702117</v>
          </cell>
          <cell r="BY19">
            <v>1883.0849820000001</v>
          </cell>
          <cell r="BZ19">
            <v>1057.3584289999999</v>
          </cell>
          <cell r="CA19">
            <v>819.73945200000003</v>
          </cell>
          <cell r="CB19">
            <v>170.33295799999999</v>
          </cell>
          <cell r="CC19">
            <v>602</v>
          </cell>
          <cell r="CD19">
            <v>404</v>
          </cell>
          <cell r="CE19">
            <v>1983</v>
          </cell>
          <cell r="CF19">
            <v>2103</v>
          </cell>
          <cell r="CG19">
            <v>895</v>
          </cell>
          <cell r="CH19">
            <v>902</v>
          </cell>
          <cell r="CI19">
            <v>255</v>
          </cell>
          <cell r="CJ19">
            <v>6</v>
          </cell>
          <cell r="CK19">
            <v>17</v>
          </cell>
          <cell r="CL19">
            <v>106</v>
          </cell>
          <cell r="CM19">
            <v>106</v>
          </cell>
          <cell r="CN19">
            <v>92</v>
          </cell>
          <cell r="CO19">
            <v>216</v>
          </cell>
          <cell r="CP19">
            <v>124</v>
          </cell>
          <cell r="CQ19">
            <v>4582.1970099999999</v>
          </cell>
          <cell r="CR19">
            <v>2505.4385470000002</v>
          </cell>
          <cell r="CS19">
            <v>573.55154200000004</v>
          </cell>
          <cell r="CT19">
            <v>511.92147799999998</v>
          </cell>
          <cell r="CU19">
            <v>43.560347999999998</v>
          </cell>
          <cell r="CV19">
            <v>233.64186799999999</v>
          </cell>
          <cell r="CW19">
            <v>451.44360899999998</v>
          </cell>
          <cell r="CX19">
            <v>586.08468500000004</v>
          </cell>
          <cell r="CY19">
            <v>431.64345100000003</v>
          </cell>
          <cell r="CZ19">
            <v>744.485952</v>
          </cell>
          <cell r="DA19">
            <v>1397.891175</v>
          </cell>
          <cell r="DB19">
            <v>79.200632999999996</v>
          </cell>
          <cell r="DC19">
            <v>150.48120299999999</v>
          </cell>
          <cell r="DD19">
            <v>788.04629999999997</v>
          </cell>
          <cell r="DE19">
            <v>1461.2516820000001</v>
          </cell>
          <cell r="DF19">
            <v>1631.5330429999999</v>
          </cell>
          <cell r="DG19">
            <v>1061.2884839999999</v>
          </cell>
          <cell r="DH19">
            <v>2261.178077</v>
          </cell>
          <cell r="DI19">
            <v>2514.6201030000002</v>
          </cell>
          <cell r="DJ19">
            <v>154.44123500000001</v>
          </cell>
          <cell r="DK19">
            <v>36</v>
          </cell>
          <cell r="DL19">
            <v>196</v>
          </cell>
          <cell r="DM19">
            <v>368</v>
          </cell>
          <cell r="DN19">
            <v>600</v>
          </cell>
          <cell r="DO19">
            <v>284</v>
          </cell>
          <cell r="DP19">
            <v>780</v>
          </cell>
          <cell r="DQ19">
            <v>1028</v>
          </cell>
          <cell r="DR19">
            <v>160</v>
          </cell>
          <cell r="DS19">
            <v>3037.344282</v>
          </cell>
          <cell r="DT19">
            <v>1477.0918079999999</v>
          </cell>
          <cell r="DU19">
            <v>269.28215299999999</v>
          </cell>
          <cell r="DV19">
            <v>43.560347999999998</v>
          </cell>
          <cell r="DW19">
            <v>225.72180499999999</v>
          </cell>
          <cell r="DX19">
            <v>1290.970321</v>
          </cell>
          <cell r="DY19">
            <v>2804</v>
          </cell>
          <cell r="DZ19">
            <v>1504</v>
          </cell>
          <cell r="EA19">
            <v>244</v>
          </cell>
          <cell r="EB19">
            <v>28</v>
          </cell>
          <cell r="EC19">
            <v>216</v>
          </cell>
          <cell r="ED19">
            <v>1056</v>
          </cell>
          <cell r="EE19">
            <v>1421.6513649999999</v>
          </cell>
          <cell r="EF19">
            <v>578.16462200000001</v>
          </cell>
          <cell r="EG19">
            <v>740.52592000000004</v>
          </cell>
          <cell r="EH19">
            <v>249.48199399999999</v>
          </cell>
          <cell r="EI19">
            <v>47.520380000000003</v>
          </cell>
          <cell r="EJ19">
            <v>1156</v>
          </cell>
          <cell r="EK19">
            <v>596</v>
          </cell>
          <cell r="EL19">
            <v>736</v>
          </cell>
          <cell r="EM19">
            <v>272</v>
          </cell>
          <cell r="EN19">
            <v>44</v>
          </cell>
        </row>
        <row r="20">
          <cell r="A20" t="str">
            <v>37159</v>
          </cell>
          <cell r="B20" t="str">
            <v>Monts</v>
          </cell>
          <cell r="C20" t="str">
            <v>CC du Val de l'Indre</v>
          </cell>
          <cell r="D20">
            <v>2595.2953889999999</v>
          </cell>
          <cell r="E20">
            <v>442.77984400000003</v>
          </cell>
          <cell r="F20">
            <v>176.897516</v>
          </cell>
          <cell r="G20">
            <v>265.88232799999997</v>
          </cell>
          <cell r="H20">
            <v>41.417783</v>
          </cell>
          <cell r="I20">
            <v>2111.0977619999999</v>
          </cell>
          <cell r="J20">
            <v>850.54586700000004</v>
          </cell>
          <cell r="K20">
            <v>1092.6642469999999</v>
          </cell>
          <cell r="L20">
            <v>167.88764800000001</v>
          </cell>
          <cell r="M20">
            <v>2284</v>
          </cell>
          <cell r="N20">
            <v>340</v>
          </cell>
          <cell r="O20">
            <v>132</v>
          </cell>
          <cell r="P20">
            <v>208</v>
          </cell>
          <cell r="Q20">
            <v>32</v>
          </cell>
          <cell r="R20">
            <v>1912</v>
          </cell>
          <cell r="S20">
            <v>680</v>
          </cell>
          <cell r="T20">
            <v>1096</v>
          </cell>
          <cell r="U20">
            <v>136</v>
          </cell>
          <cell r="V20">
            <v>6919.2222590000001</v>
          </cell>
          <cell r="W20">
            <v>442.77984400000003</v>
          </cell>
          <cell r="X20">
            <v>176.897516</v>
          </cell>
          <cell r="Y20">
            <v>265.88232799999997</v>
          </cell>
          <cell r="Z20">
            <v>94.811976999999999</v>
          </cell>
          <cell r="AA20">
            <v>6381.6304369999998</v>
          </cell>
          <cell r="AB20">
            <v>1740.6624320000001</v>
          </cell>
          <cell r="AC20">
            <v>4186.6538989999999</v>
          </cell>
          <cell r="AD20">
            <v>454.31410699999998</v>
          </cell>
          <cell r="AE20">
            <v>6424</v>
          </cell>
          <cell r="AF20">
            <v>340</v>
          </cell>
          <cell r="AG20">
            <v>132</v>
          </cell>
          <cell r="AH20">
            <v>208</v>
          </cell>
          <cell r="AI20">
            <v>64</v>
          </cell>
          <cell r="AJ20">
            <v>6020</v>
          </cell>
          <cell r="AK20">
            <v>1384</v>
          </cell>
          <cell r="AL20">
            <v>4288</v>
          </cell>
          <cell r="AM20">
            <v>348</v>
          </cell>
          <cell r="AN20">
            <v>2594</v>
          </cell>
          <cell r="AO20">
            <v>6925</v>
          </cell>
          <cell r="AP20">
            <v>2280</v>
          </cell>
          <cell r="AQ20">
            <v>6425</v>
          </cell>
          <cell r="AR20">
            <v>1995</v>
          </cell>
          <cell r="AS20">
            <v>6134</v>
          </cell>
          <cell r="AT20">
            <v>1648</v>
          </cell>
          <cell r="AU20">
            <v>5338</v>
          </cell>
          <cell r="AV20">
            <v>1279</v>
          </cell>
          <cell r="AW20">
            <v>4386</v>
          </cell>
          <cell r="AX20">
            <v>1016</v>
          </cell>
          <cell r="AY20">
            <v>3469</v>
          </cell>
          <cell r="AZ20">
            <v>5532.075073</v>
          </cell>
          <cell r="BA20">
            <v>494.219087</v>
          </cell>
          <cell r="BB20">
            <v>284.577699</v>
          </cell>
          <cell r="BC20">
            <v>1337.3731849999999</v>
          </cell>
          <cell r="BD20">
            <v>1679.4817700000001</v>
          </cell>
          <cell r="BE20">
            <v>822.40783399999998</v>
          </cell>
          <cell r="BF20">
            <v>688.30389400000001</v>
          </cell>
          <cell r="BG20">
            <v>225.71160399999999</v>
          </cell>
          <cell r="BH20">
            <v>494.219087</v>
          </cell>
          <cell r="BI20">
            <v>284.577699</v>
          </cell>
          <cell r="BJ20">
            <v>1337.3731849999999</v>
          </cell>
          <cell r="BK20">
            <v>1677.4817700000001</v>
          </cell>
          <cell r="BL20">
            <v>820.40783399999998</v>
          </cell>
          <cell r="BM20">
            <v>674.30389400000001</v>
          </cell>
          <cell r="BN20">
            <v>155.71160399999999</v>
          </cell>
          <cell r="BO20">
            <v>0</v>
          </cell>
          <cell r="BP20">
            <v>16.081592000000001</v>
          </cell>
          <cell r="BQ20">
            <v>69.686899999999994</v>
          </cell>
          <cell r="BR20">
            <v>91.129024000000001</v>
          </cell>
          <cell r="BS20">
            <v>80.407961999999998</v>
          </cell>
          <cell r="BT20">
            <v>117.93167800000001</v>
          </cell>
          <cell r="BU20">
            <v>66.470581999999993</v>
          </cell>
          <cell r="BV20">
            <v>3.1310229999999999</v>
          </cell>
          <cell r="BW20">
            <v>53.99503</v>
          </cell>
          <cell r="BX20">
            <v>1123.811596</v>
          </cell>
          <cell r="BY20">
            <v>1471.2854070000001</v>
          </cell>
          <cell r="BZ20">
            <v>703.93450399999995</v>
          </cell>
          <cell r="CA20">
            <v>516.37329299999999</v>
          </cell>
          <cell r="CB20">
            <v>68.577394999999996</v>
          </cell>
          <cell r="CC20">
            <v>468</v>
          </cell>
          <cell r="CD20">
            <v>264</v>
          </cell>
          <cell r="CE20">
            <v>1355</v>
          </cell>
          <cell r="CF20">
            <v>1565</v>
          </cell>
          <cell r="CG20">
            <v>683</v>
          </cell>
          <cell r="CH20">
            <v>538</v>
          </cell>
          <cell r="CI20">
            <v>106</v>
          </cell>
          <cell r="CJ20">
            <v>0</v>
          </cell>
          <cell r="CK20">
            <v>5</v>
          </cell>
          <cell r="CL20">
            <v>58</v>
          </cell>
          <cell r="CM20">
            <v>76</v>
          </cell>
          <cell r="CN20">
            <v>61</v>
          </cell>
          <cell r="CO20">
            <v>96</v>
          </cell>
          <cell r="CP20">
            <v>53</v>
          </cell>
          <cell r="CQ20">
            <v>3378.6223639999998</v>
          </cell>
          <cell r="CR20">
            <v>1502.3145119999999</v>
          </cell>
          <cell r="CS20">
            <v>347.38951100000003</v>
          </cell>
          <cell r="CT20">
            <v>303.74868600000002</v>
          </cell>
          <cell r="CU20">
            <v>12.194896999999999</v>
          </cell>
          <cell r="CV20">
            <v>95.962648999999999</v>
          </cell>
          <cell r="CW20">
            <v>291.77463999999998</v>
          </cell>
          <cell r="CX20">
            <v>558.693535</v>
          </cell>
          <cell r="CY20">
            <v>234.75169600000001</v>
          </cell>
          <cell r="CZ20">
            <v>517.53697499999998</v>
          </cell>
          <cell r="DA20">
            <v>813.26462700000002</v>
          </cell>
          <cell r="DB20">
            <v>71.116369000000006</v>
          </cell>
          <cell r="DC20">
            <v>36.366207000000003</v>
          </cell>
          <cell r="DD20">
            <v>344.00482499999998</v>
          </cell>
          <cell r="DE20">
            <v>900.71072600000002</v>
          </cell>
          <cell r="DF20">
            <v>1745.6958549999999</v>
          </cell>
          <cell r="DG20">
            <v>582.93439699999999</v>
          </cell>
          <cell r="DH20">
            <v>1640.403376</v>
          </cell>
          <cell r="DI20">
            <v>1533.5872460000001</v>
          </cell>
          <cell r="DJ20">
            <v>135.51962700000001</v>
          </cell>
          <cell r="DK20">
            <v>4</v>
          </cell>
          <cell r="DL20">
            <v>108</v>
          </cell>
          <cell r="DM20">
            <v>216</v>
          </cell>
          <cell r="DN20">
            <v>408</v>
          </cell>
          <cell r="DO20">
            <v>236</v>
          </cell>
          <cell r="DP20">
            <v>604</v>
          </cell>
          <cell r="DQ20">
            <v>600</v>
          </cell>
          <cell r="DR20">
            <v>108</v>
          </cell>
          <cell r="DS20">
            <v>2122.8614819999998</v>
          </cell>
          <cell r="DT20">
            <v>1092.6642469999999</v>
          </cell>
          <cell r="DU20">
            <v>179.65136899999999</v>
          </cell>
          <cell r="DV20">
            <v>44.514346000000003</v>
          </cell>
          <cell r="DW20">
            <v>135.137023</v>
          </cell>
          <cell r="DX20">
            <v>850.54586700000004</v>
          </cell>
          <cell r="DY20">
            <v>1916</v>
          </cell>
          <cell r="DZ20">
            <v>1096</v>
          </cell>
          <cell r="EA20">
            <v>136</v>
          </cell>
          <cell r="EB20">
            <v>24</v>
          </cell>
          <cell r="EC20">
            <v>112</v>
          </cell>
          <cell r="ED20">
            <v>684</v>
          </cell>
          <cell r="EE20">
            <v>960.83874000000003</v>
          </cell>
          <cell r="EF20">
            <v>398.96691299999998</v>
          </cell>
          <cell r="EG20">
            <v>582.54176500000005</v>
          </cell>
          <cell r="EH20">
            <v>150.62020000000001</v>
          </cell>
          <cell r="EI20">
            <v>29.893865000000002</v>
          </cell>
          <cell r="EJ20">
            <v>840</v>
          </cell>
          <cell r="EK20">
            <v>380</v>
          </cell>
          <cell r="EL20">
            <v>468</v>
          </cell>
          <cell r="EM20">
            <v>196</v>
          </cell>
          <cell r="EN20">
            <v>32</v>
          </cell>
        </row>
        <row r="21">
          <cell r="A21" t="str">
            <v>37172</v>
          </cell>
          <cell r="B21" t="str">
            <v>Notre-Dame-d'Oé</v>
          </cell>
          <cell r="C21" t="str">
            <v>Tour(s)plus</v>
          </cell>
          <cell r="D21">
            <v>1288.074979</v>
          </cell>
          <cell r="E21">
            <v>185.704061</v>
          </cell>
          <cell r="F21">
            <v>63.218404</v>
          </cell>
          <cell r="G21">
            <v>122.485657</v>
          </cell>
          <cell r="H21">
            <v>19.755751</v>
          </cell>
          <cell r="I21">
            <v>1082.615166</v>
          </cell>
          <cell r="J21">
            <v>458.33342800000003</v>
          </cell>
          <cell r="K21">
            <v>568.96563500000002</v>
          </cell>
          <cell r="L21">
            <v>55.316102999999998</v>
          </cell>
          <cell r="M21">
            <v>1132</v>
          </cell>
          <cell r="N21">
            <v>100</v>
          </cell>
          <cell r="O21">
            <v>40</v>
          </cell>
          <cell r="P21">
            <v>60</v>
          </cell>
          <cell r="Q21">
            <v>12</v>
          </cell>
          <cell r="R21">
            <v>1020</v>
          </cell>
          <cell r="S21">
            <v>356</v>
          </cell>
          <cell r="T21">
            <v>588</v>
          </cell>
          <cell r="U21">
            <v>76</v>
          </cell>
          <cell r="V21">
            <v>3480.9633629999998</v>
          </cell>
          <cell r="W21">
            <v>185.704061</v>
          </cell>
          <cell r="X21">
            <v>63.218404</v>
          </cell>
          <cell r="Y21">
            <v>122.485657</v>
          </cell>
          <cell r="Z21">
            <v>51.364953</v>
          </cell>
          <cell r="AA21">
            <v>3243.8943479999998</v>
          </cell>
          <cell r="AB21">
            <v>936.42260699999997</v>
          </cell>
          <cell r="AC21">
            <v>2149.4257309999998</v>
          </cell>
          <cell r="AD21">
            <v>158.04601</v>
          </cell>
          <cell r="AE21">
            <v>3308</v>
          </cell>
          <cell r="AF21">
            <v>100</v>
          </cell>
          <cell r="AG21">
            <v>40</v>
          </cell>
          <cell r="AH21">
            <v>60</v>
          </cell>
          <cell r="AI21">
            <v>24</v>
          </cell>
          <cell r="AJ21">
            <v>3184</v>
          </cell>
          <cell r="AK21">
            <v>728</v>
          </cell>
          <cell r="AL21">
            <v>2256</v>
          </cell>
          <cell r="AM21">
            <v>200</v>
          </cell>
          <cell r="AN21">
            <v>1289.062766</v>
          </cell>
          <cell r="AO21">
            <v>3478</v>
          </cell>
          <cell r="AP21">
            <v>1131</v>
          </cell>
          <cell r="AQ21">
            <v>3326</v>
          </cell>
          <cell r="AR21">
            <v>781</v>
          </cell>
          <cell r="AS21">
            <v>2557</v>
          </cell>
          <cell r="AT21">
            <v>625</v>
          </cell>
          <cell r="AU21">
            <v>2147</v>
          </cell>
          <cell r="AV21">
            <v>320</v>
          </cell>
          <cell r="AW21">
            <v>1138</v>
          </cell>
          <cell r="AX21">
            <v>160</v>
          </cell>
          <cell r="AY21">
            <v>568</v>
          </cell>
          <cell r="AZ21">
            <v>2817.2189720000001</v>
          </cell>
          <cell r="BA21">
            <v>283.50724200000002</v>
          </cell>
          <cell r="BB21">
            <v>158.04601</v>
          </cell>
          <cell r="BC21">
            <v>515.661744</v>
          </cell>
          <cell r="BD21">
            <v>916.66685600000005</v>
          </cell>
          <cell r="BE21">
            <v>561.06333400000005</v>
          </cell>
          <cell r="BF21">
            <v>322.01874500000002</v>
          </cell>
          <cell r="BG21">
            <v>60.255040999999999</v>
          </cell>
          <cell r="BH21">
            <v>282.50724200000002</v>
          </cell>
          <cell r="BI21">
            <v>158.04601</v>
          </cell>
          <cell r="BJ21">
            <v>512.661744</v>
          </cell>
          <cell r="BK21">
            <v>916.66685600000005</v>
          </cell>
          <cell r="BL21">
            <v>561.06333400000005</v>
          </cell>
          <cell r="BM21">
            <v>322.01874500000002</v>
          </cell>
          <cell r="BN21">
            <v>60.255040999999999</v>
          </cell>
          <cell r="BO21">
            <v>0.987788</v>
          </cell>
          <cell r="BP21">
            <v>1.9755750000000001</v>
          </cell>
          <cell r="BQ21">
            <v>21.731325999999999</v>
          </cell>
          <cell r="BR21">
            <v>48.401589999999999</v>
          </cell>
          <cell r="BS21">
            <v>51.364953</v>
          </cell>
          <cell r="BT21">
            <v>43.462653000000003</v>
          </cell>
          <cell r="BU21">
            <v>20.743538999999998</v>
          </cell>
          <cell r="BV21">
            <v>2.9633630000000002</v>
          </cell>
          <cell r="BW21">
            <v>21.731325999999999</v>
          </cell>
          <cell r="BX21">
            <v>427.71201400000001</v>
          </cell>
          <cell r="BY21">
            <v>808.99801200000002</v>
          </cell>
          <cell r="BZ21">
            <v>493.89377999999999</v>
          </cell>
          <cell r="CA21">
            <v>260.775916</v>
          </cell>
          <cell r="CB21">
            <v>30.621414000000001</v>
          </cell>
          <cell r="CC21">
            <v>254</v>
          </cell>
          <cell r="CD21">
            <v>153</v>
          </cell>
          <cell r="CE21">
            <v>692</v>
          </cell>
          <cell r="CF21">
            <v>938</v>
          </cell>
          <cell r="CG21">
            <v>295</v>
          </cell>
          <cell r="CH21">
            <v>195</v>
          </cell>
          <cell r="CI21">
            <v>39</v>
          </cell>
          <cell r="CJ21">
            <v>0</v>
          </cell>
          <cell r="CK21">
            <v>3</v>
          </cell>
          <cell r="CL21">
            <v>30</v>
          </cell>
          <cell r="CM21">
            <v>21</v>
          </cell>
          <cell r="CN21">
            <v>25</v>
          </cell>
          <cell r="CO21">
            <v>26</v>
          </cell>
          <cell r="CP21">
            <v>12</v>
          </cell>
          <cell r="CQ21">
            <v>1783.944334</v>
          </cell>
          <cell r="CR21">
            <v>778.42544699999996</v>
          </cell>
          <cell r="CS21">
            <v>110.63220699999999</v>
          </cell>
          <cell r="CT21">
            <v>144.216984</v>
          </cell>
          <cell r="CU21">
            <v>3.9511500000000002</v>
          </cell>
          <cell r="CV21">
            <v>55.316102999999998</v>
          </cell>
          <cell r="CW21">
            <v>158.04601</v>
          </cell>
          <cell r="CX21">
            <v>229.16671400000001</v>
          </cell>
          <cell r="CY21">
            <v>130.387958</v>
          </cell>
          <cell r="CZ21">
            <v>288.43396799999999</v>
          </cell>
          <cell r="DA21">
            <v>395.11502400000001</v>
          </cell>
          <cell r="DB21">
            <v>27.658052000000001</v>
          </cell>
          <cell r="DC21">
            <v>19.755751</v>
          </cell>
          <cell r="DD21">
            <v>169.89946</v>
          </cell>
          <cell r="DE21">
            <v>501.79608100000002</v>
          </cell>
          <cell r="DF21">
            <v>703.30474300000003</v>
          </cell>
          <cell r="DG21">
            <v>383.261573</v>
          </cell>
          <cell r="DH21">
            <v>916.66685600000005</v>
          </cell>
          <cell r="DI21">
            <v>734.91394500000001</v>
          </cell>
          <cell r="DJ21">
            <v>51.364953</v>
          </cell>
          <cell r="DK21">
            <v>4</v>
          </cell>
          <cell r="DL21">
            <v>80</v>
          </cell>
          <cell r="DM21">
            <v>128</v>
          </cell>
          <cell r="DN21">
            <v>252</v>
          </cell>
          <cell r="DO21">
            <v>148</v>
          </cell>
          <cell r="DP21">
            <v>260</v>
          </cell>
          <cell r="DQ21">
            <v>240</v>
          </cell>
          <cell r="DR21">
            <v>20</v>
          </cell>
          <cell r="DS21">
            <v>1082.615166</v>
          </cell>
          <cell r="DT21">
            <v>568.96563500000002</v>
          </cell>
          <cell r="DU21">
            <v>55.316102999999998</v>
          </cell>
          <cell r="DV21">
            <v>19.755751</v>
          </cell>
          <cell r="DW21">
            <v>35.560352000000002</v>
          </cell>
          <cell r="DX21">
            <v>458.33342800000003</v>
          </cell>
          <cell r="DY21">
            <v>1028</v>
          </cell>
          <cell r="DZ21">
            <v>588</v>
          </cell>
          <cell r="EA21">
            <v>76</v>
          </cell>
          <cell r="EB21">
            <v>16</v>
          </cell>
          <cell r="EC21">
            <v>60</v>
          </cell>
          <cell r="ED21">
            <v>364</v>
          </cell>
          <cell r="EE21">
            <v>482.04032899999999</v>
          </cell>
          <cell r="EF21">
            <v>244.971315</v>
          </cell>
          <cell r="EG21">
            <v>280.53166700000003</v>
          </cell>
          <cell r="EH21">
            <v>59.267254000000001</v>
          </cell>
          <cell r="EI21">
            <v>15.804601</v>
          </cell>
          <cell r="EJ21">
            <v>416</v>
          </cell>
          <cell r="EK21">
            <v>236</v>
          </cell>
          <cell r="EL21">
            <v>288</v>
          </cell>
          <cell r="EM21">
            <v>84</v>
          </cell>
          <cell r="EN21">
            <v>4</v>
          </cell>
        </row>
        <row r="22">
          <cell r="A22" t="str">
            <v>37179</v>
          </cell>
          <cell r="B22" t="str">
            <v>Parçay-Meslay</v>
          </cell>
          <cell r="C22" t="str">
            <v>Vouvrillon</v>
          </cell>
          <cell r="D22">
            <v>900.91638399999999</v>
          </cell>
          <cell r="E22">
            <v>163.59133</v>
          </cell>
          <cell r="F22">
            <v>57.478034999999998</v>
          </cell>
          <cell r="G22">
            <v>106.11329499999999</v>
          </cell>
          <cell r="H22">
            <v>17.170672</v>
          </cell>
          <cell r="I22">
            <v>720.15438200000006</v>
          </cell>
          <cell r="J22">
            <v>300.48675500000002</v>
          </cell>
          <cell r="K22">
            <v>398.45423199999999</v>
          </cell>
          <cell r="L22">
            <v>21.213395999999999</v>
          </cell>
          <cell r="M22">
            <v>788</v>
          </cell>
          <cell r="N22">
            <v>120</v>
          </cell>
          <cell r="O22">
            <v>32</v>
          </cell>
          <cell r="P22">
            <v>88</v>
          </cell>
          <cell r="Q22">
            <v>4</v>
          </cell>
          <cell r="R22">
            <v>664</v>
          </cell>
          <cell r="S22">
            <v>232</v>
          </cell>
          <cell r="T22">
            <v>376</v>
          </cell>
          <cell r="U22">
            <v>56</v>
          </cell>
          <cell r="V22">
            <v>2374.8646520000002</v>
          </cell>
          <cell r="W22">
            <v>163.59133</v>
          </cell>
          <cell r="X22">
            <v>57.478034999999998</v>
          </cell>
          <cell r="Y22">
            <v>106.11329499999999</v>
          </cell>
          <cell r="Z22">
            <v>34.341343000000002</v>
          </cell>
          <cell r="AA22">
            <v>2176.931979</v>
          </cell>
          <cell r="AB22">
            <v>600.97350900000004</v>
          </cell>
          <cell r="AC22">
            <v>1525.1962860000001</v>
          </cell>
          <cell r="AD22">
            <v>50.762183</v>
          </cell>
          <cell r="AE22">
            <v>2188</v>
          </cell>
          <cell r="AF22">
            <v>120</v>
          </cell>
          <cell r="AG22">
            <v>32</v>
          </cell>
          <cell r="AH22">
            <v>88</v>
          </cell>
          <cell r="AI22">
            <v>8</v>
          </cell>
          <cell r="AJ22">
            <v>2060</v>
          </cell>
          <cell r="AK22">
            <v>472</v>
          </cell>
          <cell r="AL22">
            <v>1456</v>
          </cell>
          <cell r="AM22">
            <v>132</v>
          </cell>
          <cell r="AN22">
            <v>899</v>
          </cell>
          <cell r="AO22">
            <v>2364</v>
          </cell>
          <cell r="AP22">
            <v>787</v>
          </cell>
          <cell r="AQ22">
            <v>2195</v>
          </cell>
          <cell r="AR22">
            <v>564</v>
          </cell>
          <cell r="AS22">
            <v>1757</v>
          </cell>
          <cell r="AT22">
            <v>462</v>
          </cell>
          <cell r="AU22">
            <v>1516</v>
          </cell>
          <cell r="AV22">
            <v>318</v>
          </cell>
          <cell r="AW22">
            <v>1095</v>
          </cell>
          <cell r="AX22">
            <v>218</v>
          </cell>
          <cell r="AY22">
            <v>781</v>
          </cell>
          <cell r="AZ22">
            <v>1854.4562309999999</v>
          </cell>
          <cell r="BA22">
            <v>156.862999</v>
          </cell>
          <cell r="BB22">
            <v>101.302485</v>
          </cell>
          <cell r="BC22">
            <v>479.97954499999997</v>
          </cell>
          <cell r="BD22">
            <v>596.74281099999996</v>
          </cell>
          <cell r="BE22">
            <v>248.98490899999999</v>
          </cell>
          <cell r="BF22">
            <v>215.421584</v>
          </cell>
          <cell r="BG22">
            <v>55.161897000000003</v>
          </cell>
          <cell r="BH22">
            <v>156.862999</v>
          </cell>
          <cell r="BI22">
            <v>101.302485</v>
          </cell>
          <cell r="BJ22">
            <v>479.97954499999997</v>
          </cell>
          <cell r="BK22">
            <v>596.74281099999996</v>
          </cell>
          <cell r="BL22">
            <v>248.98490899999999</v>
          </cell>
          <cell r="BM22">
            <v>215.421584</v>
          </cell>
          <cell r="BN22">
            <v>55.161897000000003</v>
          </cell>
          <cell r="BO22">
            <v>0</v>
          </cell>
          <cell r="BP22">
            <v>5.5267340000000003</v>
          </cell>
          <cell r="BQ22">
            <v>37.581792</v>
          </cell>
          <cell r="BR22">
            <v>30.949711000000001</v>
          </cell>
          <cell r="BS22">
            <v>21.00159</v>
          </cell>
          <cell r="BT22">
            <v>43.108525999999998</v>
          </cell>
          <cell r="BU22">
            <v>24.317630000000001</v>
          </cell>
          <cell r="BV22">
            <v>1.0115909999999999</v>
          </cell>
          <cell r="BW22">
            <v>16.829726999999998</v>
          </cell>
          <cell r="BX22">
            <v>392.45930700000002</v>
          </cell>
          <cell r="BY22">
            <v>526.70446800000002</v>
          </cell>
          <cell r="BZ22">
            <v>220.624664</v>
          </cell>
          <cell r="CA22">
            <v>161.644811</v>
          </cell>
          <cell r="CB22">
            <v>25.693522000000002</v>
          </cell>
          <cell r="CC22">
            <v>141</v>
          </cell>
          <cell r="CD22">
            <v>130</v>
          </cell>
          <cell r="CE22">
            <v>534</v>
          </cell>
          <cell r="CF22">
            <v>499</v>
          </cell>
          <cell r="CG22">
            <v>186</v>
          </cell>
          <cell r="CH22">
            <v>173</v>
          </cell>
          <cell r="CI22">
            <v>36</v>
          </cell>
          <cell r="CJ22">
            <v>0</v>
          </cell>
          <cell r="CK22">
            <v>4</v>
          </cell>
          <cell r="CL22">
            <v>33</v>
          </cell>
          <cell r="CM22">
            <v>18</v>
          </cell>
          <cell r="CN22">
            <v>12</v>
          </cell>
          <cell r="CO22">
            <v>32</v>
          </cell>
          <cell r="CP22">
            <v>19</v>
          </cell>
          <cell r="CQ22">
            <v>1185.1948359999999</v>
          </cell>
          <cell r="CR22">
            <v>475.14631700000001</v>
          </cell>
          <cell r="CS22">
            <v>94.896553999999995</v>
          </cell>
          <cell r="CT22">
            <v>99.218524000000002</v>
          </cell>
          <cell r="CU22">
            <v>16.320914999999999</v>
          </cell>
          <cell r="CV22">
            <v>37.277510999999997</v>
          </cell>
          <cell r="CW22">
            <v>119.95758499999999</v>
          </cell>
          <cell r="CX22">
            <v>171.44851800000001</v>
          </cell>
          <cell r="CY22">
            <v>63.426955999999997</v>
          </cell>
          <cell r="CZ22">
            <v>211.63692800000001</v>
          </cell>
          <cell r="DA22">
            <v>267.83749999999998</v>
          </cell>
          <cell r="DB22">
            <v>13.010471000000001</v>
          </cell>
          <cell r="DC22">
            <v>60.159008</v>
          </cell>
          <cell r="DD22">
            <v>119.18634</v>
          </cell>
          <cell r="DE22">
            <v>387.852102</v>
          </cell>
          <cell r="DF22">
            <v>492.21493900000002</v>
          </cell>
          <cell r="DG22">
            <v>157.735308</v>
          </cell>
          <cell r="DH22">
            <v>659.44258300000001</v>
          </cell>
          <cell r="DI22">
            <v>476.92850800000002</v>
          </cell>
          <cell r="DJ22">
            <v>21.345862</v>
          </cell>
          <cell r="DK22">
            <v>8</v>
          </cell>
          <cell r="DL22">
            <v>44</v>
          </cell>
          <cell r="DM22">
            <v>96</v>
          </cell>
          <cell r="DN22">
            <v>116</v>
          </cell>
          <cell r="DO22">
            <v>124</v>
          </cell>
          <cell r="DP22">
            <v>172</v>
          </cell>
          <cell r="DQ22">
            <v>196</v>
          </cell>
          <cell r="DR22">
            <v>32</v>
          </cell>
          <cell r="DS22">
            <v>720.15438200000006</v>
          </cell>
          <cell r="DT22">
            <v>398.45423199999999</v>
          </cell>
          <cell r="DU22">
            <v>21.213395999999999</v>
          </cell>
          <cell r="DV22">
            <v>8.4603640000000002</v>
          </cell>
          <cell r="DW22">
            <v>12.753031999999999</v>
          </cell>
          <cell r="DX22">
            <v>300.48675500000002</v>
          </cell>
          <cell r="DY22">
            <v>664</v>
          </cell>
          <cell r="DZ22">
            <v>376</v>
          </cell>
          <cell r="EA22">
            <v>56</v>
          </cell>
          <cell r="EB22">
            <v>16</v>
          </cell>
          <cell r="EC22">
            <v>40</v>
          </cell>
          <cell r="ED22">
            <v>232</v>
          </cell>
          <cell r="EE22">
            <v>312.98984200000001</v>
          </cell>
          <cell r="EF22">
            <v>146.12294</v>
          </cell>
          <cell r="EG22">
            <v>202.56077999999999</v>
          </cell>
          <cell r="EH22">
            <v>51.071292</v>
          </cell>
          <cell r="EI22">
            <v>7.4095269999999998</v>
          </cell>
          <cell r="EJ22">
            <v>260</v>
          </cell>
          <cell r="EK22">
            <v>148</v>
          </cell>
          <cell r="EL22">
            <v>196</v>
          </cell>
          <cell r="EM22">
            <v>56</v>
          </cell>
          <cell r="EN22">
            <v>4</v>
          </cell>
        </row>
        <row r="23">
          <cell r="A23" t="str">
            <v>37194</v>
          </cell>
          <cell r="B23" t="str">
            <v>Reugny</v>
          </cell>
          <cell r="C23" t="str">
            <v>Vouvrillon</v>
          </cell>
          <cell r="D23">
            <v>608</v>
          </cell>
          <cell r="E23">
            <v>152</v>
          </cell>
          <cell r="F23">
            <v>64</v>
          </cell>
          <cell r="G23">
            <v>88</v>
          </cell>
          <cell r="H23">
            <v>12</v>
          </cell>
          <cell r="I23">
            <v>444</v>
          </cell>
          <cell r="J23">
            <v>188</v>
          </cell>
          <cell r="K23">
            <v>212</v>
          </cell>
          <cell r="L23">
            <v>44</v>
          </cell>
          <cell r="M23">
            <v>540</v>
          </cell>
          <cell r="N23">
            <v>112</v>
          </cell>
          <cell r="O23">
            <v>40</v>
          </cell>
          <cell r="P23">
            <v>72</v>
          </cell>
          <cell r="Q23">
            <v>12</v>
          </cell>
          <cell r="R23">
            <v>416</v>
          </cell>
          <cell r="S23">
            <v>176</v>
          </cell>
          <cell r="T23">
            <v>220</v>
          </cell>
          <cell r="U23">
            <v>20</v>
          </cell>
          <cell r="V23">
            <v>1500</v>
          </cell>
          <cell r="W23">
            <v>152</v>
          </cell>
          <cell r="X23">
            <v>64</v>
          </cell>
          <cell r="Y23">
            <v>88</v>
          </cell>
          <cell r="Z23">
            <v>32</v>
          </cell>
          <cell r="AA23">
            <v>1316</v>
          </cell>
          <cell r="AB23">
            <v>380</v>
          </cell>
          <cell r="AC23">
            <v>816</v>
          </cell>
          <cell r="AD23">
            <v>120</v>
          </cell>
          <cell r="AE23">
            <v>1356</v>
          </cell>
          <cell r="AF23">
            <v>112</v>
          </cell>
          <cell r="AG23">
            <v>40</v>
          </cell>
          <cell r="AH23">
            <v>72</v>
          </cell>
          <cell r="AI23">
            <v>24</v>
          </cell>
          <cell r="AJ23">
            <v>1220</v>
          </cell>
          <cell r="AK23">
            <v>352</v>
          </cell>
          <cell r="AL23">
            <v>820</v>
          </cell>
          <cell r="AM23">
            <v>48</v>
          </cell>
          <cell r="AN23">
            <v>607</v>
          </cell>
          <cell r="AO23">
            <v>1498</v>
          </cell>
          <cell r="AP23">
            <v>538</v>
          </cell>
          <cell r="AQ23">
            <v>1359</v>
          </cell>
          <cell r="AR23">
            <v>478</v>
          </cell>
          <cell r="AS23">
            <v>1285</v>
          </cell>
          <cell r="AT23">
            <v>423</v>
          </cell>
          <cell r="AU23">
            <v>1177</v>
          </cell>
          <cell r="AV23">
            <v>326</v>
          </cell>
          <cell r="AW23">
            <v>856</v>
          </cell>
          <cell r="AX23">
            <v>344</v>
          </cell>
          <cell r="AY23">
            <v>928</v>
          </cell>
          <cell r="AZ23">
            <v>1210</v>
          </cell>
          <cell r="BA23">
            <v>93</v>
          </cell>
          <cell r="BB23">
            <v>58</v>
          </cell>
          <cell r="BC23">
            <v>314</v>
          </cell>
          <cell r="BD23">
            <v>367</v>
          </cell>
          <cell r="BE23">
            <v>152</v>
          </cell>
          <cell r="BF23">
            <v>162</v>
          </cell>
          <cell r="BG23">
            <v>64</v>
          </cell>
          <cell r="BH23">
            <v>78</v>
          </cell>
          <cell r="BI23">
            <v>43</v>
          </cell>
          <cell r="BJ23">
            <v>303</v>
          </cell>
          <cell r="BK23">
            <v>367</v>
          </cell>
          <cell r="BL23">
            <v>152</v>
          </cell>
          <cell r="BM23">
            <v>162</v>
          </cell>
          <cell r="BN23">
            <v>64</v>
          </cell>
          <cell r="BO23">
            <v>1</v>
          </cell>
          <cell r="BP23">
            <v>2</v>
          </cell>
          <cell r="BQ23">
            <v>15</v>
          </cell>
          <cell r="BR23">
            <v>28</v>
          </cell>
          <cell r="BS23">
            <v>22</v>
          </cell>
          <cell r="BT23">
            <v>44</v>
          </cell>
          <cell r="BU23">
            <v>37</v>
          </cell>
          <cell r="BV23">
            <v>0</v>
          </cell>
          <cell r="BW23">
            <v>13</v>
          </cell>
          <cell r="BX23">
            <v>253</v>
          </cell>
          <cell r="BY23">
            <v>310</v>
          </cell>
          <cell r="BZ23">
            <v>121</v>
          </cell>
          <cell r="CA23">
            <v>111</v>
          </cell>
          <cell r="CB23">
            <v>22</v>
          </cell>
          <cell r="CC23">
            <v>91</v>
          </cell>
          <cell r="CD23">
            <v>64</v>
          </cell>
          <cell r="CE23">
            <v>274</v>
          </cell>
          <cell r="CF23">
            <v>333</v>
          </cell>
          <cell r="CG23">
            <v>123</v>
          </cell>
          <cell r="CH23">
            <v>189</v>
          </cell>
          <cell r="CI23">
            <v>39</v>
          </cell>
          <cell r="CJ23">
            <v>0</v>
          </cell>
          <cell r="CK23">
            <v>2</v>
          </cell>
          <cell r="CL23">
            <v>14</v>
          </cell>
          <cell r="CM23">
            <v>17</v>
          </cell>
          <cell r="CN23">
            <v>17</v>
          </cell>
          <cell r="CO23">
            <v>50</v>
          </cell>
          <cell r="CP23">
            <v>19</v>
          </cell>
          <cell r="CQ23">
            <v>666</v>
          </cell>
          <cell r="CR23">
            <v>392</v>
          </cell>
          <cell r="CS23">
            <v>97</v>
          </cell>
          <cell r="CT23">
            <v>55</v>
          </cell>
          <cell r="CU23">
            <v>32</v>
          </cell>
          <cell r="CV23">
            <v>40</v>
          </cell>
          <cell r="CW23">
            <v>84</v>
          </cell>
          <cell r="CX23">
            <v>104</v>
          </cell>
          <cell r="CY23">
            <v>28</v>
          </cell>
          <cell r="CZ23">
            <v>100</v>
          </cell>
          <cell r="DA23">
            <v>196</v>
          </cell>
          <cell r="DB23">
            <v>24</v>
          </cell>
          <cell r="DC23">
            <v>88</v>
          </cell>
          <cell r="DD23">
            <v>100</v>
          </cell>
          <cell r="DE23">
            <v>232</v>
          </cell>
          <cell r="DF23">
            <v>332</v>
          </cell>
          <cell r="DG23">
            <v>64</v>
          </cell>
          <cell r="DH23">
            <v>288</v>
          </cell>
          <cell r="DI23">
            <v>324</v>
          </cell>
          <cell r="DJ23">
            <v>72</v>
          </cell>
          <cell r="DK23">
            <v>16</v>
          </cell>
          <cell r="DL23">
            <v>36</v>
          </cell>
          <cell r="DM23">
            <v>48</v>
          </cell>
          <cell r="DN23">
            <v>88</v>
          </cell>
          <cell r="DO23">
            <v>40</v>
          </cell>
          <cell r="DP23">
            <v>104</v>
          </cell>
          <cell r="DQ23">
            <v>180</v>
          </cell>
          <cell r="DR23">
            <v>28</v>
          </cell>
          <cell r="DS23">
            <v>444</v>
          </cell>
          <cell r="DT23">
            <v>212</v>
          </cell>
          <cell r="DU23">
            <v>44</v>
          </cell>
          <cell r="DV23">
            <v>20</v>
          </cell>
          <cell r="DW23">
            <v>24</v>
          </cell>
          <cell r="DX23">
            <v>188</v>
          </cell>
          <cell r="DY23">
            <v>416</v>
          </cell>
          <cell r="DZ23">
            <v>220</v>
          </cell>
          <cell r="EA23">
            <v>20</v>
          </cell>
          <cell r="EB23">
            <v>0</v>
          </cell>
          <cell r="EC23">
            <v>20</v>
          </cell>
          <cell r="ED23">
            <v>176</v>
          </cell>
          <cell r="EE23">
            <v>212</v>
          </cell>
          <cell r="EF23">
            <v>96</v>
          </cell>
          <cell r="EG23">
            <v>100</v>
          </cell>
          <cell r="EH23">
            <v>24</v>
          </cell>
          <cell r="EI23">
            <v>12</v>
          </cell>
          <cell r="EJ23">
            <v>196</v>
          </cell>
          <cell r="EK23">
            <v>92</v>
          </cell>
          <cell r="EL23">
            <v>96</v>
          </cell>
          <cell r="EM23">
            <v>28</v>
          </cell>
          <cell r="EN23">
            <v>4</v>
          </cell>
        </row>
        <row r="24">
          <cell r="A24" t="str">
            <v>37195</v>
          </cell>
          <cell r="B24" t="str">
            <v>La Riche</v>
          </cell>
          <cell r="C24" t="str">
            <v>Tour(s)plus</v>
          </cell>
          <cell r="D24">
            <v>4733</v>
          </cell>
          <cell r="E24">
            <v>2176</v>
          </cell>
          <cell r="F24">
            <v>852</v>
          </cell>
          <cell r="G24">
            <v>1324</v>
          </cell>
          <cell r="H24">
            <v>120</v>
          </cell>
          <cell r="I24">
            <v>2437</v>
          </cell>
          <cell r="J24">
            <v>1021</v>
          </cell>
          <cell r="K24">
            <v>1016</v>
          </cell>
          <cell r="L24">
            <v>400</v>
          </cell>
          <cell r="M24">
            <v>3844</v>
          </cell>
          <cell r="N24">
            <v>1540</v>
          </cell>
          <cell r="O24">
            <v>636</v>
          </cell>
          <cell r="P24">
            <v>904</v>
          </cell>
          <cell r="Q24">
            <v>59</v>
          </cell>
          <cell r="R24">
            <v>2245</v>
          </cell>
          <cell r="S24">
            <v>874</v>
          </cell>
          <cell r="T24">
            <v>1066</v>
          </cell>
          <cell r="U24">
            <v>305</v>
          </cell>
          <cell r="V24">
            <v>9478</v>
          </cell>
          <cell r="W24">
            <v>2176</v>
          </cell>
          <cell r="X24">
            <v>852</v>
          </cell>
          <cell r="Y24">
            <v>1324</v>
          </cell>
          <cell r="Z24">
            <v>264</v>
          </cell>
          <cell r="AA24">
            <v>7038</v>
          </cell>
          <cell r="AB24">
            <v>2058</v>
          </cell>
          <cell r="AC24">
            <v>3932</v>
          </cell>
          <cell r="AD24">
            <v>1048</v>
          </cell>
          <cell r="AE24">
            <v>8404</v>
          </cell>
          <cell r="AF24">
            <v>1540</v>
          </cell>
          <cell r="AG24">
            <v>636</v>
          </cell>
          <cell r="AH24">
            <v>904</v>
          </cell>
          <cell r="AI24">
            <v>126</v>
          </cell>
          <cell r="AJ24">
            <v>6738</v>
          </cell>
          <cell r="AK24">
            <v>1813</v>
          </cell>
          <cell r="AL24">
            <v>4154</v>
          </cell>
          <cell r="AM24">
            <v>771</v>
          </cell>
          <cell r="AN24">
            <v>4739</v>
          </cell>
          <cell r="AO24">
            <v>9472</v>
          </cell>
          <cell r="AP24">
            <v>3851</v>
          </cell>
          <cell r="AQ24">
            <v>8440</v>
          </cell>
          <cell r="AR24">
            <v>3315</v>
          </cell>
          <cell r="AS24">
            <v>7820</v>
          </cell>
          <cell r="AT24">
            <v>2983</v>
          </cell>
          <cell r="AU24">
            <v>7250</v>
          </cell>
          <cell r="AV24">
            <v>2366</v>
          </cell>
          <cell r="AW24">
            <v>6626</v>
          </cell>
          <cell r="AX24">
            <v>1968</v>
          </cell>
          <cell r="AY24">
            <v>6308</v>
          </cell>
          <cell r="AZ24">
            <v>7990</v>
          </cell>
          <cell r="BA24">
            <v>663</v>
          </cell>
          <cell r="BB24">
            <v>1034</v>
          </cell>
          <cell r="BC24">
            <v>2346</v>
          </cell>
          <cell r="BD24">
            <v>1802</v>
          </cell>
          <cell r="BE24">
            <v>840</v>
          </cell>
          <cell r="BF24">
            <v>882</v>
          </cell>
          <cell r="BG24">
            <v>423</v>
          </cell>
          <cell r="BH24">
            <v>652</v>
          </cell>
          <cell r="BI24">
            <v>1026</v>
          </cell>
          <cell r="BJ24">
            <v>2336</v>
          </cell>
          <cell r="BK24">
            <v>1794</v>
          </cell>
          <cell r="BL24">
            <v>840</v>
          </cell>
          <cell r="BM24">
            <v>873</v>
          </cell>
          <cell r="BN24">
            <v>347</v>
          </cell>
          <cell r="BO24">
            <v>110</v>
          </cell>
          <cell r="BP24">
            <v>375</v>
          </cell>
          <cell r="BQ24">
            <v>588</v>
          </cell>
          <cell r="BR24">
            <v>351</v>
          </cell>
          <cell r="BS24">
            <v>223</v>
          </cell>
          <cell r="BT24">
            <v>321</v>
          </cell>
          <cell r="BU24">
            <v>210</v>
          </cell>
          <cell r="BV24">
            <v>40</v>
          </cell>
          <cell r="BW24">
            <v>335</v>
          </cell>
          <cell r="BX24">
            <v>1451</v>
          </cell>
          <cell r="BY24">
            <v>1185</v>
          </cell>
          <cell r="BZ24">
            <v>577</v>
          </cell>
          <cell r="CA24">
            <v>526</v>
          </cell>
          <cell r="CB24">
            <v>123</v>
          </cell>
          <cell r="CC24">
            <v>615</v>
          </cell>
          <cell r="CD24">
            <v>862</v>
          </cell>
          <cell r="CE24">
            <v>2146</v>
          </cell>
          <cell r="CF24">
            <v>1650</v>
          </cell>
          <cell r="CG24">
            <v>602</v>
          </cell>
          <cell r="CH24">
            <v>819</v>
          </cell>
          <cell r="CI24">
            <v>221</v>
          </cell>
          <cell r="CJ24">
            <v>72</v>
          </cell>
          <cell r="CK24">
            <v>259</v>
          </cell>
          <cell r="CL24">
            <v>436</v>
          </cell>
          <cell r="CM24">
            <v>270</v>
          </cell>
          <cell r="CN24">
            <v>127</v>
          </cell>
          <cell r="CO24">
            <v>246</v>
          </cell>
          <cell r="CP24">
            <v>120</v>
          </cell>
          <cell r="CQ24">
            <v>3022</v>
          </cell>
          <cell r="CR24">
            <v>3764</v>
          </cell>
          <cell r="CS24">
            <v>574</v>
          </cell>
          <cell r="CT24">
            <v>630</v>
          </cell>
          <cell r="CU24">
            <v>0</v>
          </cell>
          <cell r="CV24">
            <v>144</v>
          </cell>
          <cell r="CW24">
            <v>408</v>
          </cell>
          <cell r="CX24">
            <v>861</v>
          </cell>
          <cell r="CY24">
            <v>772</v>
          </cell>
          <cell r="CZ24">
            <v>812</v>
          </cell>
          <cell r="DA24">
            <v>1144</v>
          </cell>
          <cell r="DB24">
            <v>592</v>
          </cell>
          <cell r="DC24">
            <v>0</v>
          </cell>
          <cell r="DD24">
            <v>416</v>
          </cell>
          <cell r="DE24">
            <v>828</v>
          </cell>
          <cell r="DF24">
            <v>1850</v>
          </cell>
          <cell r="DG24">
            <v>1504</v>
          </cell>
          <cell r="DH24">
            <v>2144</v>
          </cell>
          <cell r="DI24">
            <v>1816</v>
          </cell>
          <cell r="DJ24">
            <v>920</v>
          </cell>
          <cell r="DK24">
            <v>18</v>
          </cell>
          <cell r="DL24">
            <v>154</v>
          </cell>
          <cell r="DM24">
            <v>340</v>
          </cell>
          <cell r="DN24">
            <v>621</v>
          </cell>
          <cell r="DO24">
            <v>486</v>
          </cell>
          <cell r="DP24">
            <v>838</v>
          </cell>
          <cell r="DQ24">
            <v>877</v>
          </cell>
          <cell r="DR24">
            <v>510</v>
          </cell>
          <cell r="DS24">
            <v>2445</v>
          </cell>
          <cell r="DT24">
            <v>1016</v>
          </cell>
          <cell r="DU24">
            <v>408</v>
          </cell>
          <cell r="DV24">
            <v>36</v>
          </cell>
          <cell r="DW24">
            <v>372</v>
          </cell>
          <cell r="DX24">
            <v>1021</v>
          </cell>
          <cell r="DY24">
            <v>2260</v>
          </cell>
          <cell r="DZ24">
            <v>1074</v>
          </cell>
          <cell r="EA24">
            <v>306</v>
          </cell>
          <cell r="EB24">
            <v>41</v>
          </cell>
          <cell r="EC24">
            <v>265</v>
          </cell>
          <cell r="ED24">
            <v>880</v>
          </cell>
          <cell r="EE24">
            <v>1125</v>
          </cell>
          <cell r="EF24">
            <v>588</v>
          </cell>
          <cell r="EG24">
            <v>500</v>
          </cell>
          <cell r="EH24">
            <v>192</v>
          </cell>
          <cell r="EI24">
            <v>40</v>
          </cell>
          <cell r="EJ24">
            <v>1003</v>
          </cell>
          <cell r="EK24">
            <v>558</v>
          </cell>
          <cell r="EL24">
            <v>473</v>
          </cell>
          <cell r="EM24">
            <v>185</v>
          </cell>
          <cell r="EN24">
            <v>41</v>
          </cell>
        </row>
        <row r="25">
          <cell r="A25" t="str">
            <v>37203</v>
          </cell>
          <cell r="B25" t="str">
            <v>Rochecorbon</v>
          </cell>
          <cell r="C25" t="str">
            <v>Vouvrillon</v>
          </cell>
          <cell r="D25">
            <v>1273.335437</v>
          </cell>
          <cell r="E25">
            <v>321.27232600000002</v>
          </cell>
          <cell r="F25">
            <v>141.04638700000001</v>
          </cell>
          <cell r="G25">
            <v>180.22593900000001</v>
          </cell>
          <cell r="H25">
            <v>19.589776000000001</v>
          </cell>
          <cell r="I25">
            <v>932.47333500000002</v>
          </cell>
          <cell r="J25">
            <v>430.97507100000001</v>
          </cell>
          <cell r="K25">
            <v>415.30324999999999</v>
          </cell>
          <cell r="L25">
            <v>86.195014</v>
          </cell>
          <cell r="M25">
            <v>1152</v>
          </cell>
          <cell r="N25">
            <v>276</v>
          </cell>
          <cell r="O25">
            <v>120</v>
          </cell>
          <cell r="P25">
            <v>156</v>
          </cell>
          <cell r="Q25">
            <v>12</v>
          </cell>
          <cell r="R25">
            <v>864</v>
          </cell>
          <cell r="S25">
            <v>360</v>
          </cell>
          <cell r="T25">
            <v>440</v>
          </cell>
          <cell r="U25">
            <v>64</v>
          </cell>
          <cell r="V25">
            <v>3095.1846009999999</v>
          </cell>
          <cell r="W25">
            <v>321.27232600000002</v>
          </cell>
          <cell r="X25">
            <v>141.04638700000001</v>
          </cell>
          <cell r="Y25">
            <v>180.22593900000001</v>
          </cell>
          <cell r="Z25">
            <v>47.015461999999999</v>
          </cell>
          <cell r="AA25">
            <v>2726.8968129999998</v>
          </cell>
          <cell r="AB25">
            <v>869.78605200000004</v>
          </cell>
          <cell r="AC25">
            <v>1633.787315</v>
          </cell>
          <cell r="AD25">
            <v>223.32344599999999</v>
          </cell>
          <cell r="AE25">
            <v>2884</v>
          </cell>
          <cell r="AF25">
            <v>276</v>
          </cell>
          <cell r="AG25">
            <v>120</v>
          </cell>
          <cell r="AH25">
            <v>156</v>
          </cell>
          <cell r="AI25">
            <v>28</v>
          </cell>
          <cell r="AJ25">
            <v>2580</v>
          </cell>
          <cell r="AK25">
            <v>736</v>
          </cell>
          <cell r="AL25">
            <v>1680</v>
          </cell>
          <cell r="AM25">
            <v>164</v>
          </cell>
          <cell r="AN25">
            <v>1274.314926</v>
          </cell>
          <cell r="AO25">
            <v>3104</v>
          </cell>
          <cell r="AP25">
            <v>1151</v>
          </cell>
          <cell r="AQ25">
            <v>2875</v>
          </cell>
          <cell r="AR25">
            <v>984</v>
          </cell>
          <cell r="AS25">
            <v>2596</v>
          </cell>
          <cell r="AT25">
            <v>930</v>
          </cell>
          <cell r="AU25">
            <v>2643</v>
          </cell>
          <cell r="AV25">
            <v>739</v>
          </cell>
          <cell r="AW25">
            <v>2306</v>
          </cell>
          <cell r="AX25">
            <v>712</v>
          </cell>
          <cell r="AY25">
            <v>2197</v>
          </cell>
          <cell r="AZ25">
            <v>2583.8348590000001</v>
          </cell>
          <cell r="BA25">
            <v>173.369517</v>
          </cell>
          <cell r="BB25">
            <v>134.189965</v>
          </cell>
          <cell r="BC25">
            <v>518.14786300000003</v>
          </cell>
          <cell r="BD25">
            <v>727.82909700000005</v>
          </cell>
          <cell r="BE25">
            <v>434.01739600000002</v>
          </cell>
          <cell r="BF25">
            <v>402.65973200000002</v>
          </cell>
          <cell r="BG25">
            <v>193.62128799999999</v>
          </cell>
          <cell r="BH25">
            <v>173.369517</v>
          </cell>
          <cell r="BI25">
            <v>134.189965</v>
          </cell>
          <cell r="BJ25">
            <v>517.17008499999997</v>
          </cell>
          <cell r="BK25">
            <v>712.08835599999998</v>
          </cell>
          <cell r="BL25">
            <v>419.221205</v>
          </cell>
          <cell r="BM25">
            <v>384.939098</v>
          </cell>
          <cell r="BN25">
            <v>134.189965</v>
          </cell>
          <cell r="BO25">
            <v>0.97948900000000005</v>
          </cell>
          <cell r="BP25">
            <v>16.651309999999999</v>
          </cell>
          <cell r="BQ25">
            <v>50.933416999999999</v>
          </cell>
          <cell r="BR25">
            <v>71.502681999999993</v>
          </cell>
          <cell r="BS25">
            <v>49.953929000000002</v>
          </cell>
          <cell r="BT25">
            <v>72.482170999999994</v>
          </cell>
          <cell r="BU25">
            <v>57.789839000000001</v>
          </cell>
          <cell r="BV25">
            <v>0</v>
          </cell>
          <cell r="BW25">
            <v>31.343641999999999</v>
          </cell>
          <cell r="BX25">
            <v>390.81603000000001</v>
          </cell>
          <cell r="BY25">
            <v>577.89839099999995</v>
          </cell>
          <cell r="BZ25">
            <v>352.61596700000001</v>
          </cell>
          <cell r="CA25">
            <v>305.957223</v>
          </cell>
          <cell r="CB25">
            <v>74.911463999999995</v>
          </cell>
          <cell r="CC25">
            <v>198</v>
          </cell>
          <cell r="CD25">
            <v>126</v>
          </cell>
          <cell r="CE25">
            <v>560</v>
          </cell>
          <cell r="CF25">
            <v>659</v>
          </cell>
          <cell r="CG25">
            <v>337</v>
          </cell>
          <cell r="CH25">
            <v>356</v>
          </cell>
          <cell r="CI25">
            <v>82</v>
          </cell>
          <cell r="CJ25">
            <v>4</v>
          </cell>
          <cell r="CK25">
            <v>19</v>
          </cell>
          <cell r="CL25">
            <v>41</v>
          </cell>
          <cell r="CM25">
            <v>40</v>
          </cell>
          <cell r="CN25">
            <v>48</v>
          </cell>
          <cell r="CO25">
            <v>74</v>
          </cell>
          <cell r="CP25">
            <v>46</v>
          </cell>
          <cell r="CQ25">
            <v>1395.5577410000001</v>
          </cell>
          <cell r="CR25">
            <v>820.15697899999998</v>
          </cell>
          <cell r="CS25">
            <v>196.56191000000001</v>
          </cell>
          <cell r="CT25">
            <v>171.55822900000001</v>
          </cell>
          <cell r="CU25">
            <v>11.753866</v>
          </cell>
          <cell r="CV25">
            <v>74.441148999999996</v>
          </cell>
          <cell r="CW25">
            <v>195.89776000000001</v>
          </cell>
          <cell r="CX25">
            <v>164.55411799999999</v>
          </cell>
          <cell r="CY25">
            <v>113.620701</v>
          </cell>
          <cell r="CZ25">
            <v>176.307984</v>
          </cell>
          <cell r="DA25">
            <v>525.00599599999998</v>
          </cell>
          <cell r="DB25">
            <v>11.753866</v>
          </cell>
          <cell r="DC25">
            <v>47.015461999999999</v>
          </cell>
          <cell r="DD25">
            <v>219.40549100000001</v>
          </cell>
          <cell r="DE25">
            <v>599.44714399999998</v>
          </cell>
          <cell r="DF25">
            <v>477.99053300000003</v>
          </cell>
          <cell r="DG25">
            <v>313.43641500000001</v>
          </cell>
          <cell r="DH25">
            <v>477.99053300000003</v>
          </cell>
          <cell r="DI25">
            <v>944.22720100000004</v>
          </cell>
          <cell r="DJ25">
            <v>15.671821</v>
          </cell>
          <cell r="DK25">
            <v>20</v>
          </cell>
          <cell r="DL25">
            <v>124</v>
          </cell>
          <cell r="DM25">
            <v>132</v>
          </cell>
          <cell r="DN25">
            <v>200</v>
          </cell>
          <cell r="DO25">
            <v>76</v>
          </cell>
          <cell r="DP25">
            <v>160</v>
          </cell>
          <cell r="DQ25">
            <v>360</v>
          </cell>
          <cell r="DR25">
            <v>80</v>
          </cell>
          <cell r="DS25">
            <v>936.39129100000002</v>
          </cell>
          <cell r="DT25">
            <v>415.30324999999999</v>
          </cell>
          <cell r="DU25">
            <v>90.112969000000007</v>
          </cell>
          <cell r="DV25">
            <v>7.8359100000000002</v>
          </cell>
          <cell r="DW25">
            <v>82.277058999999994</v>
          </cell>
          <cell r="DX25">
            <v>430.97507100000001</v>
          </cell>
          <cell r="DY25">
            <v>872</v>
          </cell>
          <cell r="DZ25">
            <v>440</v>
          </cell>
          <cell r="EA25">
            <v>68</v>
          </cell>
          <cell r="EB25">
            <v>12</v>
          </cell>
          <cell r="EC25">
            <v>56</v>
          </cell>
          <cell r="ED25">
            <v>364</v>
          </cell>
          <cell r="EE25">
            <v>474.07257800000002</v>
          </cell>
          <cell r="EF25">
            <v>148.88229699999999</v>
          </cell>
          <cell r="EG25">
            <v>227.241401</v>
          </cell>
          <cell r="EH25">
            <v>66.605238</v>
          </cell>
          <cell r="EI25">
            <v>19.589776000000001</v>
          </cell>
          <cell r="EJ25">
            <v>392</v>
          </cell>
          <cell r="EK25">
            <v>184</v>
          </cell>
          <cell r="EL25">
            <v>224</v>
          </cell>
          <cell r="EM25">
            <v>72</v>
          </cell>
          <cell r="EN25">
            <v>0</v>
          </cell>
        </row>
        <row r="26">
          <cell r="A26" t="str">
            <v>37208</v>
          </cell>
          <cell r="B26" t="str">
            <v>Saint-Avertin</v>
          </cell>
          <cell r="C26" t="str">
            <v>Tour(s)plus</v>
          </cell>
          <cell r="D26">
            <v>5734.0743480000001</v>
          </cell>
          <cell r="E26">
            <v>1413.9856950000001</v>
          </cell>
          <cell r="F26">
            <v>543.13788099999999</v>
          </cell>
          <cell r="G26">
            <v>870.84781399999997</v>
          </cell>
          <cell r="H26">
            <v>98.548060000000007</v>
          </cell>
          <cell r="I26">
            <v>4221.5405929999997</v>
          </cell>
          <cell r="J26">
            <v>1964.3729969999999</v>
          </cell>
          <cell r="K26">
            <v>1804.061868</v>
          </cell>
          <cell r="L26">
            <v>453.105729</v>
          </cell>
          <cell r="M26">
            <v>5340</v>
          </cell>
          <cell r="N26">
            <v>1120</v>
          </cell>
          <cell r="O26">
            <v>436</v>
          </cell>
          <cell r="P26">
            <v>684</v>
          </cell>
          <cell r="Q26">
            <v>44</v>
          </cell>
          <cell r="R26">
            <v>4176</v>
          </cell>
          <cell r="S26">
            <v>1692</v>
          </cell>
          <cell r="T26">
            <v>2156</v>
          </cell>
          <cell r="U26">
            <v>328</v>
          </cell>
          <cell r="V26">
            <v>13746.223963</v>
          </cell>
          <cell r="W26">
            <v>1413.9856950000001</v>
          </cell>
          <cell r="X26">
            <v>543.13788099999999</v>
          </cell>
          <cell r="Y26">
            <v>870.84781399999997</v>
          </cell>
          <cell r="Z26">
            <v>254.803011</v>
          </cell>
          <cell r="AA26">
            <v>12077.435258</v>
          </cell>
          <cell r="AB26">
            <v>3983.1411349999998</v>
          </cell>
          <cell r="AC26">
            <v>6925.6234919999997</v>
          </cell>
          <cell r="AD26">
            <v>1168.6706300000001</v>
          </cell>
          <cell r="AE26">
            <v>13968</v>
          </cell>
          <cell r="AF26">
            <v>1120</v>
          </cell>
          <cell r="AG26">
            <v>436</v>
          </cell>
          <cell r="AH26">
            <v>684</v>
          </cell>
          <cell r="AI26">
            <v>96</v>
          </cell>
          <cell r="AJ26">
            <v>12752</v>
          </cell>
          <cell r="AK26">
            <v>3480</v>
          </cell>
          <cell r="AL26">
            <v>8408</v>
          </cell>
          <cell r="AM26">
            <v>864</v>
          </cell>
          <cell r="AN26">
            <v>5731.0743480000001</v>
          </cell>
          <cell r="AO26">
            <v>13737.223963</v>
          </cell>
          <cell r="AP26">
            <v>5339</v>
          </cell>
          <cell r="AQ26">
            <v>14020</v>
          </cell>
          <cell r="AR26">
            <v>4335</v>
          </cell>
          <cell r="AS26">
            <v>12088</v>
          </cell>
          <cell r="AT26">
            <v>3397</v>
          </cell>
          <cell r="AU26">
            <v>9996</v>
          </cell>
          <cell r="AV26">
            <v>2640</v>
          </cell>
          <cell r="AW26">
            <v>8747</v>
          </cell>
          <cell r="AX26">
            <v>2067</v>
          </cell>
          <cell r="AY26">
            <v>7317</v>
          </cell>
          <cell r="AZ26">
            <v>11561.222258</v>
          </cell>
          <cell r="BA26">
            <v>1132.070524</v>
          </cell>
          <cell r="BB26">
            <v>711.95250999999996</v>
          </cell>
          <cell r="BC26">
            <v>1984.5112919999999</v>
          </cell>
          <cell r="BD26">
            <v>3521.2536049999999</v>
          </cell>
          <cell r="BE26">
            <v>1862.146616</v>
          </cell>
          <cell r="BF26">
            <v>1783.4383150000001</v>
          </cell>
          <cell r="BG26">
            <v>565.84939499999996</v>
          </cell>
          <cell r="BH26">
            <v>1131.1596440000001</v>
          </cell>
          <cell r="BI26">
            <v>706.48723299999995</v>
          </cell>
          <cell r="BJ26">
            <v>1944.6490229999999</v>
          </cell>
          <cell r="BK26">
            <v>3472.8346240000001</v>
          </cell>
          <cell r="BL26">
            <v>1846.5551809999999</v>
          </cell>
          <cell r="BM26">
            <v>1772.7589170000001</v>
          </cell>
          <cell r="BN26">
            <v>494.84939500000002</v>
          </cell>
          <cell r="BO26">
            <v>12.544809000000001</v>
          </cell>
          <cell r="BP26">
            <v>94.332373000000004</v>
          </cell>
          <cell r="BQ26">
            <v>248.05275700000001</v>
          </cell>
          <cell r="BR26">
            <v>272.43398500000001</v>
          </cell>
          <cell r="BS26">
            <v>213.91897599999999</v>
          </cell>
          <cell r="BT26">
            <v>362.88210700000002</v>
          </cell>
          <cell r="BU26">
            <v>209.82068799999999</v>
          </cell>
          <cell r="BV26">
            <v>15.854339</v>
          </cell>
          <cell r="BW26">
            <v>167.27198999999999</v>
          </cell>
          <cell r="BX26">
            <v>1405.515995</v>
          </cell>
          <cell r="BY26">
            <v>2893.6841949999998</v>
          </cell>
          <cell r="BZ26">
            <v>1537.062923</v>
          </cell>
          <cell r="CA26">
            <v>1368.0371459999999</v>
          </cell>
          <cell r="CB26">
            <v>251.953791</v>
          </cell>
          <cell r="CC26">
            <v>1108</v>
          </cell>
          <cell r="CD26">
            <v>726</v>
          </cell>
          <cell r="CE26">
            <v>2492</v>
          </cell>
          <cell r="CF26">
            <v>3558</v>
          </cell>
          <cell r="CG26">
            <v>1405</v>
          </cell>
          <cell r="CH26">
            <v>1620</v>
          </cell>
          <cell r="CI26">
            <v>322</v>
          </cell>
          <cell r="CJ26">
            <v>5</v>
          </cell>
          <cell r="CK26">
            <v>68</v>
          </cell>
          <cell r="CL26">
            <v>248</v>
          </cell>
          <cell r="CM26">
            <v>210</v>
          </cell>
          <cell r="CN26">
            <v>134</v>
          </cell>
          <cell r="CO26">
            <v>305</v>
          </cell>
          <cell r="CP26">
            <v>141</v>
          </cell>
          <cell r="CQ26">
            <v>6591.1403739999996</v>
          </cell>
          <cell r="CR26">
            <v>3429.4713299999999</v>
          </cell>
          <cell r="CS26">
            <v>741.18325000000004</v>
          </cell>
          <cell r="CT26">
            <v>799.42730400000005</v>
          </cell>
          <cell r="CU26">
            <v>3.4631449999999999</v>
          </cell>
          <cell r="CV26">
            <v>282.98375700000003</v>
          </cell>
          <cell r="CW26">
            <v>1086.048963</v>
          </cell>
          <cell r="CX26">
            <v>874.20026499999994</v>
          </cell>
          <cell r="CY26">
            <v>578.28754400000003</v>
          </cell>
          <cell r="CZ26">
            <v>689.53822400000001</v>
          </cell>
          <cell r="DA26">
            <v>2024.2407579999999</v>
          </cell>
          <cell r="DB26">
            <v>195.31169299999999</v>
          </cell>
          <cell r="DC26">
            <v>13.852577999999999</v>
          </cell>
          <cell r="DD26">
            <v>841.66875600000003</v>
          </cell>
          <cell r="DE26">
            <v>3235.180343</v>
          </cell>
          <cell r="DF26">
            <v>2441.1441030000001</v>
          </cell>
          <cell r="DG26">
            <v>1340.293782</v>
          </cell>
          <cell r="DH26">
            <v>1914.965093</v>
          </cell>
          <cell r="DI26">
            <v>3597.194892</v>
          </cell>
          <cell r="DJ26">
            <v>361.92441600000001</v>
          </cell>
          <cell r="DK26">
            <v>4</v>
          </cell>
          <cell r="DL26">
            <v>316</v>
          </cell>
          <cell r="DM26">
            <v>980</v>
          </cell>
          <cell r="DN26">
            <v>964</v>
          </cell>
          <cell r="DO26">
            <v>540</v>
          </cell>
          <cell r="DP26">
            <v>704</v>
          </cell>
          <cell r="DQ26">
            <v>1620</v>
          </cell>
          <cell r="DR26">
            <v>212</v>
          </cell>
          <cell r="DS26">
            <v>4241.1186909999997</v>
          </cell>
          <cell r="DT26">
            <v>1807.00621</v>
          </cell>
          <cell r="DU26">
            <v>465.85007200000001</v>
          </cell>
          <cell r="DV26">
            <v>98.340676000000002</v>
          </cell>
          <cell r="DW26">
            <v>367.50939699999998</v>
          </cell>
          <cell r="DX26">
            <v>1968.2624089999999</v>
          </cell>
          <cell r="DY26">
            <v>4200</v>
          </cell>
          <cell r="DZ26">
            <v>2156</v>
          </cell>
          <cell r="EA26">
            <v>340</v>
          </cell>
          <cell r="EB26">
            <v>48</v>
          </cell>
          <cell r="EC26">
            <v>292</v>
          </cell>
          <cell r="ED26">
            <v>1704</v>
          </cell>
          <cell r="EE26">
            <v>2120.6125440000001</v>
          </cell>
          <cell r="EF26">
            <v>873.63425299999994</v>
          </cell>
          <cell r="EG26">
            <v>905.03000099999997</v>
          </cell>
          <cell r="EH26">
            <v>279.77873499999998</v>
          </cell>
          <cell r="EI26">
            <v>62.063158000000001</v>
          </cell>
          <cell r="EJ26">
            <v>1896</v>
          </cell>
          <cell r="EK26">
            <v>868</v>
          </cell>
          <cell r="EL26">
            <v>996</v>
          </cell>
          <cell r="EM26">
            <v>372</v>
          </cell>
          <cell r="EN26">
            <v>68</v>
          </cell>
        </row>
        <row r="27">
          <cell r="A27" t="str">
            <v>37211</v>
          </cell>
          <cell r="B27" t="str">
            <v>Saint-Branchs</v>
          </cell>
          <cell r="C27" t="str">
            <v>CC du Val de l'Indre</v>
          </cell>
          <cell r="D27">
            <v>911.44991500000003</v>
          </cell>
          <cell r="E27">
            <v>185.44651999999999</v>
          </cell>
          <cell r="F27">
            <v>90.750423999999995</v>
          </cell>
          <cell r="G27">
            <v>94.696095</v>
          </cell>
          <cell r="H27">
            <v>15.782683</v>
          </cell>
          <cell r="I27">
            <v>710.22071300000005</v>
          </cell>
          <cell r="J27">
            <v>276.19694399999997</v>
          </cell>
          <cell r="K27">
            <v>366.94736799999998</v>
          </cell>
          <cell r="L27">
            <v>67.076401000000004</v>
          </cell>
          <cell r="M27">
            <v>805</v>
          </cell>
          <cell r="N27">
            <v>149</v>
          </cell>
          <cell r="O27">
            <v>81</v>
          </cell>
          <cell r="P27">
            <v>68</v>
          </cell>
          <cell r="Q27">
            <v>7</v>
          </cell>
          <cell r="R27">
            <v>649</v>
          </cell>
          <cell r="S27">
            <v>221</v>
          </cell>
          <cell r="T27">
            <v>384</v>
          </cell>
          <cell r="U27">
            <v>44</v>
          </cell>
          <cell r="V27">
            <v>2331.891341</v>
          </cell>
          <cell r="W27">
            <v>185.44651999999999</v>
          </cell>
          <cell r="X27">
            <v>90.750423999999995</v>
          </cell>
          <cell r="Y27">
            <v>94.696095</v>
          </cell>
          <cell r="Z27">
            <v>39.456705999999997</v>
          </cell>
          <cell r="AA27">
            <v>2106.9881150000001</v>
          </cell>
          <cell r="AB27">
            <v>556.33955900000001</v>
          </cell>
          <cell r="AC27">
            <v>1384.93039</v>
          </cell>
          <cell r="AD27">
            <v>165.718166</v>
          </cell>
          <cell r="AE27">
            <v>2254</v>
          </cell>
          <cell r="AF27">
            <v>149</v>
          </cell>
          <cell r="AG27">
            <v>81</v>
          </cell>
          <cell r="AH27">
            <v>68</v>
          </cell>
          <cell r="AI27">
            <v>15</v>
          </cell>
          <cell r="AJ27">
            <v>2090</v>
          </cell>
          <cell r="AK27">
            <v>447</v>
          </cell>
          <cell r="AL27">
            <v>1533</v>
          </cell>
          <cell r="AM27">
            <v>110</v>
          </cell>
          <cell r="AN27">
            <v>908.49066200000004</v>
          </cell>
          <cell r="AO27">
            <v>2324</v>
          </cell>
          <cell r="AP27">
            <v>801</v>
          </cell>
          <cell r="AQ27">
            <v>2212</v>
          </cell>
          <cell r="AR27">
            <v>729</v>
          </cell>
          <cell r="AS27">
            <v>2102</v>
          </cell>
          <cell r="AT27">
            <v>569</v>
          </cell>
          <cell r="AU27">
            <v>1685</v>
          </cell>
          <cell r="AV27">
            <v>471</v>
          </cell>
          <cell r="AW27">
            <v>1548</v>
          </cell>
          <cell r="AX27">
            <v>476</v>
          </cell>
          <cell r="AY27">
            <v>1612</v>
          </cell>
          <cell r="AZ27">
            <v>1862.3565369999999</v>
          </cell>
          <cell r="BA27">
            <v>164.73174900000001</v>
          </cell>
          <cell r="BB27">
            <v>106.533107</v>
          </cell>
          <cell r="BC27">
            <v>439.942275</v>
          </cell>
          <cell r="BD27">
            <v>595.79626499999995</v>
          </cell>
          <cell r="BE27">
            <v>253.50933800000001</v>
          </cell>
          <cell r="BF27">
            <v>220.95755500000001</v>
          </cell>
          <cell r="BG27">
            <v>80.886247999999995</v>
          </cell>
          <cell r="BH27">
            <v>164.73174900000001</v>
          </cell>
          <cell r="BI27">
            <v>106.533107</v>
          </cell>
          <cell r="BJ27">
            <v>439.942275</v>
          </cell>
          <cell r="BK27">
            <v>595.79626499999995</v>
          </cell>
          <cell r="BL27">
            <v>253.50933800000001</v>
          </cell>
          <cell r="BM27">
            <v>220.95755500000001</v>
          </cell>
          <cell r="BN27">
            <v>80.886247999999995</v>
          </cell>
          <cell r="BO27">
            <v>0.98641800000000002</v>
          </cell>
          <cell r="BP27">
            <v>5.9185059999999998</v>
          </cell>
          <cell r="BQ27">
            <v>20.714770999999999</v>
          </cell>
          <cell r="BR27">
            <v>47.348047999999999</v>
          </cell>
          <cell r="BS27">
            <v>23.674023999999999</v>
          </cell>
          <cell r="BT27">
            <v>46.361629999999998</v>
          </cell>
          <cell r="BU27">
            <v>38.470289000000001</v>
          </cell>
          <cell r="BV27">
            <v>0.98641800000000002</v>
          </cell>
          <cell r="BW27">
            <v>30.578946999999999</v>
          </cell>
          <cell r="BX27">
            <v>369.90662099999997</v>
          </cell>
          <cell r="BY27">
            <v>494.195246</v>
          </cell>
          <cell r="BZ27">
            <v>218.98472000000001</v>
          </cell>
          <cell r="CA27">
            <v>157.82682500000001</v>
          </cell>
          <cell r="CB27">
            <v>29.59253</v>
          </cell>
          <cell r="CC27">
            <v>168</v>
          </cell>
          <cell r="CD27">
            <v>92</v>
          </cell>
          <cell r="CE27">
            <v>497</v>
          </cell>
          <cell r="CF27">
            <v>497</v>
          </cell>
          <cell r="CG27">
            <v>184</v>
          </cell>
          <cell r="CH27">
            <v>226</v>
          </cell>
          <cell r="CI27">
            <v>50</v>
          </cell>
          <cell r="CJ27">
            <v>2</v>
          </cell>
          <cell r="CK27">
            <v>2</v>
          </cell>
          <cell r="CL27">
            <v>31</v>
          </cell>
          <cell r="CM27">
            <v>29</v>
          </cell>
          <cell r="CN27">
            <v>22</v>
          </cell>
          <cell r="CO27">
            <v>50</v>
          </cell>
          <cell r="CP27">
            <v>21</v>
          </cell>
          <cell r="CQ27">
            <v>1049.548387</v>
          </cell>
          <cell r="CR27">
            <v>578.04074700000001</v>
          </cell>
          <cell r="CS27">
            <v>120.34295400000001</v>
          </cell>
          <cell r="CT27">
            <v>114.424448</v>
          </cell>
          <cell r="CU27">
            <v>31.565365</v>
          </cell>
          <cell r="CV27">
            <v>27.619693999999999</v>
          </cell>
          <cell r="CW27">
            <v>82.859082999999998</v>
          </cell>
          <cell r="CX27">
            <v>157.82682500000001</v>
          </cell>
          <cell r="CY27">
            <v>71.022070999999997</v>
          </cell>
          <cell r="CZ27">
            <v>280.14261499999998</v>
          </cell>
          <cell r="DA27">
            <v>240.68590800000001</v>
          </cell>
          <cell r="DB27">
            <v>19.728352999999998</v>
          </cell>
          <cell r="DC27">
            <v>102.587436</v>
          </cell>
          <cell r="DD27">
            <v>98.641766000000004</v>
          </cell>
          <cell r="DE27">
            <v>303.81663800000001</v>
          </cell>
          <cell r="DF27">
            <v>441.91511000000003</v>
          </cell>
          <cell r="DG27">
            <v>189.39219</v>
          </cell>
          <cell r="DH27">
            <v>753.62309000000005</v>
          </cell>
          <cell r="DI27">
            <v>394.56706300000002</v>
          </cell>
          <cell r="DJ27">
            <v>47.348047999999999</v>
          </cell>
          <cell r="DK27">
            <v>32</v>
          </cell>
          <cell r="DL27">
            <v>44</v>
          </cell>
          <cell r="DM27">
            <v>43</v>
          </cell>
          <cell r="DN27">
            <v>114</v>
          </cell>
          <cell r="DO27">
            <v>62</v>
          </cell>
          <cell r="DP27">
            <v>229</v>
          </cell>
          <cell r="DQ27">
            <v>250</v>
          </cell>
          <cell r="DR27">
            <v>31</v>
          </cell>
          <cell r="DS27">
            <v>714.16638399999999</v>
          </cell>
          <cell r="DT27">
            <v>366.94736799999998</v>
          </cell>
          <cell r="DU27">
            <v>71.022070999999997</v>
          </cell>
          <cell r="DV27">
            <v>31.565365</v>
          </cell>
          <cell r="DW27">
            <v>39.456705999999997</v>
          </cell>
          <cell r="DX27">
            <v>276.19694399999997</v>
          </cell>
          <cell r="DY27">
            <v>649</v>
          </cell>
          <cell r="DZ27">
            <v>384</v>
          </cell>
          <cell r="EA27">
            <v>44</v>
          </cell>
          <cell r="EB27">
            <v>4</v>
          </cell>
          <cell r="EC27">
            <v>40</v>
          </cell>
          <cell r="ED27">
            <v>221</v>
          </cell>
          <cell r="EE27">
            <v>303.81663800000001</v>
          </cell>
          <cell r="EF27">
            <v>185.44651999999999</v>
          </cell>
          <cell r="EG27">
            <v>165.718166</v>
          </cell>
          <cell r="EH27">
            <v>47.348047999999999</v>
          </cell>
          <cell r="EI27">
            <v>11.837012</v>
          </cell>
          <cell r="EJ27">
            <v>256</v>
          </cell>
          <cell r="EK27">
            <v>145</v>
          </cell>
          <cell r="EL27">
            <v>156</v>
          </cell>
          <cell r="EM27">
            <v>78</v>
          </cell>
          <cell r="EN27">
            <v>14</v>
          </cell>
        </row>
        <row r="28">
          <cell r="A28" t="str">
            <v>37214</v>
          </cell>
          <cell r="B28" t="str">
            <v>Saint-Cyr-sur-Loire</v>
          </cell>
          <cell r="C28" t="str">
            <v>Tour(s)plus</v>
          </cell>
          <cell r="D28">
            <v>7489.8763010000002</v>
          </cell>
          <cell r="E28">
            <v>2641.4884219999999</v>
          </cell>
          <cell r="F28">
            <v>927.66664800000001</v>
          </cell>
          <cell r="G28">
            <v>1713.8217729999999</v>
          </cell>
          <cell r="H28">
            <v>172.42155</v>
          </cell>
          <cell r="I28">
            <v>4675.9663289999999</v>
          </cell>
          <cell r="J28">
            <v>2305.3219049999998</v>
          </cell>
          <cell r="K28">
            <v>1803.073273</v>
          </cell>
          <cell r="L28">
            <v>567.57115099999999</v>
          </cell>
          <cell r="M28">
            <v>6848</v>
          </cell>
          <cell r="N28">
            <v>2148</v>
          </cell>
          <cell r="O28">
            <v>684</v>
          </cell>
          <cell r="P28">
            <v>1464</v>
          </cell>
          <cell r="Q28">
            <v>92</v>
          </cell>
          <cell r="R28">
            <v>4608</v>
          </cell>
          <cell r="S28">
            <v>2064</v>
          </cell>
          <cell r="T28">
            <v>2108</v>
          </cell>
          <cell r="U28">
            <v>436</v>
          </cell>
          <cell r="V28">
            <v>15979.442316000001</v>
          </cell>
          <cell r="W28">
            <v>2641.4884219999999</v>
          </cell>
          <cell r="X28">
            <v>927.66664800000001</v>
          </cell>
          <cell r="Y28">
            <v>1713.8217729999999</v>
          </cell>
          <cell r="Z28">
            <v>392.28972199999998</v>
          </cell>
          <cell r="AA28">
            <v>12945.664172999999</v>
          </cell>
          <cell r="AB28">
            <v>4665.3961140000001</v>
          </cell>
          <cell r="AC28">
            <v>6841.179384</v>
          </cell>
          <cell r="AD28">
            <v>1439.088675</v>
          </cell>
          <cell r="AE28">
            <v>15740</v>
          </cell>
          <cell r="AF28">
            <v>2148</v>
          </cell>
          <cell r="AG28">
            <v>684</v>
          </cell>
          <cell r="AH28">
            <v>1464</v>
          </cell>
          <cell r="AI28">
            <v>200</v>
          </cell>
          <cell r="AJ28">
            <v>13392</v>
          </cell>
          <cell r="AK28">
            <v>4208</v>
          </cell>
          <cell r="AL28">
            <v>8124</v>
          </cell>
          <cell r="AM28">
            <v>1060</v>
          </cell>
          <cell r="AN28">
            <v>7493.418557</v>
          </cell>
          <cell r="AO28">
            <v>15983.984571999999</v>
          </cell>
          <cell r="AP28">
            <v>6847</v>
          </cell>
          <cell r="AQ28">
            <v>15695</v>
          </cell>
          <cell r="AR28">
            <v>6071</v>
          </cell>
          <cell r="AS28">
            <v>14920</v>
          </cell>
          <cell r="AT28">
            <v>5390</v>
          </cell>
          <cell r="AU28">
            <v>14023</v>
          </cell>
          <cell r="AV28">
            <v>4252</v>
          </cell>
          <cell r="AW28">
            <v>12368</v>
          </cell>
          <cell r="AX28">
            <v>3356</v>
          </cell>
          <cell r="AY28">
            <v>11048</v>
          </cell>
          <cell r="AZ28">
            <v>13936.980985</v>
          </cell>
          <cell r="BA28">
            <v>1025.5407259999999</v>
          </cell>
          <cell r="BB28">
            <v>987.27289699999994</v>
          </cell>
          <cell r="BC28">
            <v>2794.456979</v>
          </cell>
          <cell r="BD28">
            <v>3465.5036930000001</v>
          </cell>
          <cell r="BE28">
            <v>2235.7257209999998</v>
          </cell>
          <cell r="BF28">
            <v>2290.35419</v>
          </cell>
          <cell r="BG28">
            <v>1138.1267780000001</v>
          </cell>
          <cell r="BH28">
            <v>999.46874500000001</v>
          </cell>
          <cell r="BI28">
            <v>983.93956400000002</v>
          </cell>
          <cell r="BJ28">
            <v>2782.237646</v>
          </cell>
          <cell r="BK28">
            <v>3423.4195140000002</v>
          </cell>
          <cell r="BL28">
            <v>2183.0447170000002</v>
          </cell>
          <cell r="BM28">
            <v>2209.0591089999998</v>
          </cell>
          <cell r="BN28">
            <v>984.121985</v>
          </cell>
          <cell r="BO28">
            <v>25.417946000000001</v>
          </cell>
          <cell r="BP28">
            <v>247.40487999999999</v>
          </cell>
          <cell r="BQ28">
            <v>588.78177000000005</v>
          </cell>
          <cell r="BR28">
            <v>450.65331900000001</v>
          </cell>
          <cell r="BS28">
            <v>329.28520200000003</v>
          </cell>
          <cell r="BT28">
            <v>520.14174700000001</v>
          </cell>
          <cell r="BU28">
            <v>482.34581400000002</v>
          </cell>
          <cell r="BV28">
            <v>17.880116999999998</v>
          </cell>
          <cell r="BW28">
            <v>270.88413700000001</v>
          </cell>
          <cell r="BX28">
            <v>1824.0644440000001</v>
          </cell>
          <cell r="BY28">
            <v>2540.4158000000002</v>
          </cell>
          <cell r="BZ28">
            <v>1760.8293329999999</v>
          </cell>
          <cell r="CA28">
            <v>1613.9122809999999</v>
          </cell>
          <cell r="CB28">
            <v>434.49322100000001</v>
          </cell>
          <cell r="CC28">
            <v>1070</v>
          </cell>
          <cell r="CD28">
            <v>959</v>
          </cell>
          <cell r="CE28">
            <v>3061</v>
          </cell>
          <cell r="CF28">
            <v>3659</v>
          </cell>
          <cell r="CG28">
            <v>1562</v>
          </cell>
          <cell r="CH28">
            <v>2183</v>
          </cell>
          <cell r="CI28">
            <v>579</v>
          </cell>
          <cell r="CJ28">
            <v>29</v>
          </cell>
          <cell r="CK28">
            <v>151</v>
          </cell>
          <cell r="CL28">
            <v>534</v>
          </cell>
          <cell r="CM28">
            <v>356</v>
          </cell>
          <cell r="CN28">
            <v>233</v>
          </cell>
          <cell r="CO28">
            <v>552</v>
          </cell>
          <cell r="CP28">
            <v>292</v>
          </cell>
          <cell r="CQ28">
            <v>7009.0781989999996</v>
          </cell>
          <cell r="CR28">
            <v>4671.8910720000003</v>
          </cell>
          <cell r="CS28">
            <v>1113.4598559999999</v>
          </cell>
          <cell r="CT28">
            <v>1142.551858</v>
          </cell>
          <cell r="CU28">
            <v>1.0459769999999999</v>
          </cell>
          <cell r="CV28">
            <v>278.57536599999997</v>
          </cell>
          <cell r="CW28">
            <v>1297.932272</v>
          </cell>
          <cell r="CX28">
            <v>1366.454806</v>
          </cell>
          <cell r="CY28">
            <v>933.14803500000005</v>
          </cell>
          <cell r="CZ28">
            <v>649.49474699999996</v>
          </cell>
          <cell r="DA28">
            <v>2590.9458760000002</v>
          </cell>
          <cell r="DB28">
            <v>372.279222</v>
          </cell>
          <cell r="DC28">
            <v>2.0919530000000002</v>
          </cell>
          <cell r="DD28">
            <v>828.76114800000005</v>
          </cell>
          <cell r="DE28">
            <v>3607.8390460000001</v>
          </cell>
          <cell r="DF28">
            <v>3173.8910209999999</v>
          </cell>
          <cell r="DG28">
            <v>1914.817235</v>
          </cell>
          <cell r="DH28">
            <v>1469.5686679999999</v>
          </cell>
          <cell r="DI28">
            <v>4385.2781580000001</v>
          </cell>
          <cell r="DJ28">
            <v>597.19508800000006</v>
          </cell>
          <cell r="DK28">
            <v>12</v>
          </cell>
          <cell r="DL28">
            <v>344</v>
          </cell>
          <cell r="DM28">
            <v>1024</v>
          </cell>
          <cell r="DN28">
            <v>1140</v>
          </cell>
          <cell r="DO28">
            <v>908</v>
          </cell>
          <cell r="DP28">
            <v>800</v>
          </cell>
          <cell r="DQ28">
            <v>2204</v>
          </cell>
          <cell r="DR28">
            <v>416</v>
          </cell>
          <cell r="DS28">
            <v>4692.5030690000003</v>
          </cell>
          <cell r="DT28">
            <v>1804.1192490000001</v>
          </cell>
          <cell r="DU28">
            <v>578.46423800000002</v>
          </cell>
          <cell r="DV28">
            <v>94.316569000000001</v>
          </cell>
          <cell r="DW28">
            <v>484.14766900000001</v>
          </cell>
          <cell r="DX28">
            <v>2309.919582</v>
          </cell>
          <cell r="DY28">
            <v>4628</v>
          </cell>
          <cell r="DZ28">
            <v>2112</v>
          </cell>
          <cell r="EA28">
            <v>448</v>
          </cell>
          <cell r="EB28">
            <v>64</v>
          </cell>
          <cell r="EC28">
            <v>384</v>
          </cell>
          <cell r="ED28">
            <v>2068</v>
          </cell>
          <cell r="EE28">
            <v>2542.6508100000001</v>
          </cell>
          <cell r="EF28">
            <v>975.61856</v>
          </cell>
          <cell r="EG28">
            <v>860.90548899999999</v>
          </cell>
          <cell r="EH28">
            <v>247.309775</v>
          </cell>
          <cell r="EI28">
            <v>66.018435999999994</v>
          </cell>
          <cell r="EJ28">
            <v>2320</v>
          </cell>
          <cell r="EK28">
            <v>1016</v>
          </cell>
          <cell r="EL28">
            <v>928</v>
          </cell>
          <cell r="EM28">
            <v>256</v>
          </cell>
          <cell r="EN28">
            <v>108</v>
          </cell>
        </row>
        <row r="29">
          <cell r="A29" t="str">
            <v>37217</v>
          </cell>
          <cell r="B29" t="str">
            <v>Saint-Étienne-de-Chigny</v>
          </cell>
          <cell r="C29" t="str">
            <v>Tour(s)plus</v>
          </cell>
          <cell r="D29">
            <v>517</v>
          </cell>
          <cell r="E29">
            <v>113</v>
          </cell>
          <cell r="F29">
            <v>60</v>
          </cell>
          <cell r="G29">
            <v>53</v>
          </cell>
          <cell r="H29">
            <v>4</v>
          </cell>
          <cell r="I29">
            <v>400</v>
          </cell>
          <cell r="J29">
            <v>136</v>
          </cell>
          <cell r="K29">
            <v>220</v>
          </cell>
          <cell r="L29">
            <v>44</v>
          </cell>
          <cell r="M29">
            <v>480</v>
          </cell>
          <cell r="N29">
            <v>96</v>
          </cell>
          <cell r="O29">
            <v>48</v>
          </cell>
          <cell r="P29">
            <v>48</v>
          </cell>
          <cell r="Q29">
            <v>0</v>
          </cell>
          <cell r="R29">
            <v>384</v>
          </cell>
          <cell r="S29">
            <v>116</v>
          </cell>
          <cell r="T29">
            <v>252</v>
          </cell>
          <cell r="U29">
            <v>16</v>
          </cell>
          <cell r="V29">
            <v>1357</v>
          </cell>
          <cell r="W29">
            <v>113</v>
          </cell>
          <cell r="X29">
            <v>60</v>
          </cell>
          <cell r="Y29">
            <v>53</v>
          </cell>
          <cell r="Z29">
            <v>8</v>
          </cell>
          <cell r="AA29">
            <v>1236</v>
          </cell>
          <cell r="AB29">
            <v>276</v>
          </cell>
          <cell r="AC29">
            <v>852</v>
          </cell>
          <cell r="AD29">
            <v>108</v>
          </cell>
          <cell r="AE29">
            <v>1348</v>
          </cell>
          <cell r="AF29">
            <v>96</v>
          </cell>
          <cell r="AG29">
            <v>48</v>
          </cell>
          <cell r="AH29">
            <v>48</v>
          </cell>
          <cell r="AI29">
            <v>0</v>
          </cell>
          <cell r="AJ29">
            <v>1252</v>
          </cell>
          <cell r="AK29">
            <v>232</v>
          </cell>
          <cell r="AL29">
            <v>980</v>
          </cell>
          <cell r="AM29">
            <v>40</v>
          </cell>
          <cell r="AN29">
            <v>515</v>
          </cell>
          <cell r="AO29">
            <v>1364</v>
          </cell>
          <cell r="AP29">
            <v>478</v>
          </cell>
          <cell r="AQ29">
            <v>1323</v>
          </cell>
          <cell r="AR29">
            <v>410</v>
          </cell>
          <cell r="AS29">
            <v>1159</v>
          </cell>
          <cell r="AT29">
            <v>303</v>
          </cell>
          <cell r="AU29">
            <v>841</v>
          </cell>
          <cell r="AV29">
            <v>228</v>
          </cell>
          <cell r="AW29">
            <v>607</v>
          </cell>
          <cell r="AX29">
            <v>229</v>
          </cell>
          <cell r="AY29">
            <v>686</v>
          </cell>
          <cell r="AZ29">
            <v>1037</v>
          </cell>
          <cell r="BA29">
            <v>90</v>
          </cell>
          <cell r="BB29">
            <v>61</v>
          </cell>
          <cell r="BC29">
            <v>285</v>
          </cell>
          <cell r="BD29">
            <v>358</v>
          </cell>
          <cell r="BE29">
            <v>139</v>
          </cell>
          <cell r="BF29">
            <v>84</v>
          </cell>
          <cell r="BG29">
            <v>20</v>
          </cell>
          <cell r="BH29">
            <v>90</v>
          </cell>
          <cell r="BI29">
            <v>61</v>
          </cell>
          <cell r="BJ29">
            <v>285</v>
          </cell>
          <cell r="BK29">
            <v>358</v>
          </cell>
          <cell r="BL29">
            <v>139</v>
          </cell>
          <cell r="BM29">
            <v>84</v>
          </cell>
          <cell r="BN29">
            <v>20</v>
          </cell>
          <cell r="BO29">
            <v>1</v>
          </cell>
          <cell r="BP29">
            <v>3</v>
          </cell>
          <cell r="BQ29">
            <v>18</v>
          </cell>
          <cell r="BR29">
            <v>34</v>
          </cell>
          <cell r="BS29">
            <v>21</v>
          </cell>
          <cell r="BT29">
            <v>24</v>
          </cell>
          <cell r="BU29">
            <v>10</v>
          </cell>
          <cell r="BV29">
            <v>0</v>
          </cell>
          <cell r="BW29">
            <v>13</v>
          </cell>
          <cell r="BX29">
            <v>227</v>
          </cell>
          <cell r="BY29">
            <v>302</v>
          </cell>
          <cell r="BZ29">
            <v>107</v>
          </cell>
          <cell r="CA29">
            <v>55</v>
          </cell>
          <cell r="CB29">
            <v>8</v>
          </cell>
          <cell r="CC29">
            <v>102</v>
          </cell>
          <cell r="CD29">
            <v>54</v>
          </cell>
          <cell r="CE29">
            <v>339</v>
          </cell>
          <cell r="CF29">
            <v>314</v>
          </cell>
          <cell r="CG29">
            <v>76</v>
          </cell>
          <cell r="CH29">
            <v>91</v>
          </cell>
          <cell r="CI29">
            <v>28</v>
          </cell>
          <cell r="CJ29">
            <v>0</v>
          </cell>
          <cell r="CK29">
            <v>3</v>
          </cell>
          <cell r="CL29">
            <v>16</v>
          </cell>
          <cell r="CM29">
            <v>28</v>
          </cell>
          <cell r="CN29">
            <v>9</v>
          </cell>
          <cell r="CO29">
            <v>21</v>
          </cell>
          <cell r="CP29">
            <v>13</v>
          </cell>
          <cell r="CQ29">
            <v>595</v>
          </cell>
          <cell r="CR29">
            <v>329</v>
          </cell>
          <cell r="CS29">
            <v>42</v>
          </cell>
          <cell r="CT29">
            <v>71</v>
          </cell>
          <cell r="CU29">
            <v>4</v>
          </cell>
          <cell r="CV29">
            <v>36</v>
          </cell>
          <cell r="CW29">
            <v>64</v>
          </cell>
          <cell r="CX29">
            <v>80</v>
          </cell>
          <cell r="CY29">
            <v>80</v>
          </cell>
          <cell r="CZ29">
            <v>132</v>
          </cell>
          <cell r="DA29">
            <v>105</v>
          </cell>
          <cell r="DB29">
            <v>16</v>
          </cell>
          <cell r="DC29">
            <v>8</v>
          </cell>
          <cell r="DD29">
            <v>84</v>
          </cell>
          <cell r="DE29">
            <v>188</v>
          </cell>
          <cell r="DF29">
            <v>248</v>
          </cell>
          <cell r="DG29">
            <v>228</v>
          </cell>
          <cell r="DH29">
            <v>412</v>
          </cell>
          <cell r="DI29">
            <v>165</v>
          </cell>
          <cell r="DJ29">
            <v>24</v>
          </cell>
          <cell r="DK29">
            <v>4</v>
          </cell>
          <cell r="DL29">
            <v>24</v>
          </cell>
          <cell r="DM29">
            <v>60</v>
          </cell>
          <cell r="DN29">
            <v>96</v>
          </cell>
          <cell r="DO29">
            <v>44</v>
          </cell>
          <cell r="DP29">
            <v>128</v>
          </cell>
          <cell r="DQ29">
            <v>112</v>
          </cell>
          <cell r="DR29">
            <v>12</v>
          </cell>
          <cell r="DS29">
            <v>404</v>
          </cell>
          <cell r="DT29">
            <v>220</v>
          </cell>
          <cell r="DU29">
            <v>48</v>
          </cell>
          <cell r="DV29">
            <v>20</v>
          </cell>
          <cell r="DW29">
            <v>28</v>
          </cell>
          <cell r="DX29">
            <v>136</v>
          </cell>
          <cell r="DY29">
            <v>384</v>
          </cell>
          <cell r="DZ29">
            <v>252</v>
          </cell>
          <cell r="EA29">
            <v>16</v>
          </cell>
          <cell r="EB29">
            <v>4</v>
          </cell>
          <cell r="EC29">
            <v>12</v>
          </cell>
          <cell r="ED29">
            <v>116</v>
          </cell>
          <cell r="EE29">
            <v>152</v>
          </cell>
          <cell r="EF29">
            <v>108</v>
          </cell>
          <cell r="EG29">
            <v>92</v>
          </cell>
          <cell r="EH29">
            <v>52</v>
          </cell>
          <cell r="EI29">
            <v>0</v>
          </cell>
          <cell r="EJ29">
            <v>132</v>
          </cell>
          <cell r="EK29">
            <v>108</v>
          </cell>
          <cell r="EL29">
            <v>88</v>
          </cell>
          <cell r="EM29">
            <v>40</v>
          </cell>
          <cell r="EN29">
            <v>16</v>
          </cell>
        </row>
        <row r="30">
          <cell r="A30" t="str">
            <v>37219</v>
          </cell>
          <cell r="B30" t="str">
            <v>Saint-Genouph</v>
          </cell>
          <cell r="C30" t="str">
            <v>Tour(s)plus</v>
          </cell>
          <cell r="D30">
            <v>380</v>
          </cell>
          <cell r="E30">
            <v>80</v>
          </cell>
          <cell r="F30">
            <v>40</v>
          </cell>
          <cell r="G30">
            <v>40</v>
          </cell>
          <cell r="H30">
            <v>20</v>
          </cell>
          <cell r="I30">
            <v>280</v>
          </cell>
          <cell r="J30">
            <v>96</v>
          </cell>
          <cell r="K30">
            <v>156</v>
          </cell>
          <cell r="L30">
            <v>28</v>
          </cell>
          <cell r="M30">
            <v>340</v>
          </cell>
          <cell r="N30">
            <v>60</v>
          </cell>
          <cell r="O30">
            <v>28</v>
          </cell>
          <cell r="P30">
            <v>32</v>
          </cell>
          <cell r="Q30">
            <v>4</v>
          </cell>
          <cell r="R30">
            <v>276</v>
          </cell>
          <cell r="S30">
            <v>100</v>
          </cell>
          <cell r="T30">
            <v>160</v>
          </cell>
          <cell r="U30">
            <v>16</v>
          </cell>
          <cell r="V30">
            <v>992</v>
          </cell>
          <cell r="W30">
            <v>80</v>
          </cell>
          <cell r="X30">
            <v>40</v>
          </cell>
          <cell r="Y30">
            <v>40</v>
          </cell>
          <cell r="Z30">
            <v>56</v>
          </cell>
          <cell r="AA30">
            <v>856</v>
          </cell>
          <cell r="AB30">
            <v>192</v>
          </cell>
          <cell r="AC30">
            <v>596</v>
          </cell>
          <cell r="AD30">
            <v>68</v>
          </cell>
          <cell r="AE30">
            <v>960</v>
          </cell>
          <cell r="AF30">
            <v>60</v>
          </cell>
          <cell r="AG30">
            <v>28</v>
          </cell>
          <cell r="AH30">
            <v>32</v>
          </cell>
          <cell r="AI30">
            <v>8</v>
          </cell>
          <cell r="AJ30">
            <v>892</v>
          </cell>
          <cell r="AK30">
            <v>204</v>
          </cell>
          <cell r="AL30">
            <v>624</v>
          </cell>
          <cell r="AM30">
            <v>64</v>
          </cell>
          <cell r="AN30">
            <v>381</v>
          </cell>
          <cell r="AO30">
            <v>1005</v>
          </cell>
          <cell r="AP30">
            <v>339</v>
          </cell>
          <cell r="AQ30">
            <v>938</v>
          </cell>
          <cell r="AR30">
            <v>306</v>
          </cell>
          <cell r="AS30">
            <v>873</v>
          </cell>
          <cell r="AT30">
            <v>262</v>
          </cell>
          <cell r="AU30">
            <v>801</v>
          </cell>
          <cell r="AV30">
            <v>222</v>
          </cell>
          <cell r="AW30">
            <v>748</v>
          </cell>
          <cell r="AX30">
            <v>200</v>
          </cell>
          <cell r="AY30">
            <v>672</v>
          </cell>
          <cell r="AZ30">
            <v>790</v>
          </cell>
          <cell r="BA30">
            <v>73</v>
          </cell>
          <cell r="BB30">
            <v>41</v>
          </cell>
          <cell r="BC30">
            <v>183</v>
          </cell>
          <cell r="BD30">
            <v>255</v>
          </cell>
          <cell r="BE30">
            <v>117</v>
          </cell>
          <cell r="BF30">
            <v>89</v>
          </cell>
          <cell r="BG30">
            <v>32</v>
          </cell>
          <cell r="BH30">
            <v>73</v>
          </cell>
          <cell r="BI30">
            <v>41</v>
          </cell>
          <cell r="BJ30">
            <v>183</v>
          </cell>
          <cell r="BK30">
            <v>255</v>
          </cell>
          <cell r="BL30">
            <v>117</v>
          </cell>
          <cell r="BM30">
            <v>89</v>
          </cell>
          <cell r="BN30">
            <v>32</v>
          </cell>
          <cell r="BO30">
            <v>0</v>
          </cell>
          <cell r="BP30">
            <v>1</v>
          </cell>
          <cell r="BQ30">
            <v>12</v>
          </cell>
          <cell r="BR30">
            <v>18</v>
          </cell>
          <cell r="BS30">
            <v>16</v>
          </cell>
          <cell r="BT30">
            <v>18</v>
          </cell>
          <cell r="BU30">
            <v>12</v>
          </cell>
          <cell r="BV30">
            <v>1</v>
          </cell>
          <cell r="BW30">
            <v>9</v>
          </cell>
          <cell r="BX30">
            <v>150</v>
          </cell>
          <cell r="BY30">
            <v>221</v>
          </cell>
          <cell r="BZ30">
            <v>89</v>
          </cell>
          <cell r="CA30">
            <v>68</v>
          </cell>
          <cell r="CB30">
            <v>17</v>
          </cell>
          <cell r="CC30">
            <v>58</v>
          </cell>
          <cell r="CD30">
            <v>37</v>
          </cell>
          <cell r="CE30">
            <v>215</v>
          </cell>
          <cell r="CF30">
            <v>222</v>
          </cell>
          <cell r="CG30">
            <v>85</v>
          </cell>
          <cell r="CH30">
            <v>89</v>
          </cell>
          <cell r="CI30">
            <v>21</v>
          </cell>
          <cell r="CJ30">
            <v>0</v>
          </cell>
          <cell r="CK30">
            <v>0</v>
          </cell>
          <cell r="CL30">
            <v>12</v>
          </cell>
          <cell r="CM30">
            <v>18</v>
          </cell>
          <cell r="CN30">
            <v>7</v>
          </cell>
          <cell r="CO30">
            <v>19</v>
          </cell>
          <cell r="CP30">
            <v>7</v>
          </cell>
          <cell r="CQ30">
            <v>462</v>
          </cell>
          <cell r="CR30">
            <v>252</v>
          </cell>
          <cell r="CS30">
            <v>40</v>
          </cell>
          <cell r="CT30">
            <v>36</v>
          </cell>
          <cell r="CU30">
            <v>4</v>
          </cell>
          <cell r="CV30">
            <v>36</v>
          </cell>
          <cell r="CW30">
            <v>40</v>
          </cell>
          <cell r="CX30">
            <v>48</v>
          </cell>
          <cell r="CY30">
            <v>36</v>
          </cell>
          <cell r="CZ30">
            <v>76</v>
          </cell>
          <cell r="DA30">
            <v>136</v>
          </cell>
          <cell r="DB30">
            <v>4</v>
          </cell>
          <cell r="DC30">
            <v>4</v>
          </cell>
          <cell r="DD30">
            <v>124</v>
          </cell>
          <cell r="DE30">
            <v>140</v>
          </cell>
          <cell r="DF30">
            <v>172</v>
          </cell>
          <cell r="DG30">
            <v>96</v>
          </cell>
          <cell r="DH30">
            <v>228</v>
          </cell>
          <cell r="DI30">
            <v>216</v>
          </cell>
          <cell r="DJ30">
            <v>12</v>
          </cell>
          <cell r="DK30">
            <v>16</v>
          </cell>
          <cell r="DL30">
            <v>24</v>
          </cell>
          <cell r="DM30">
            <v>8</v>
          </cell>
          <cell r="DN30">
            <v>56</v>
          </cell>
          <cell r="DO30">
            <v>36</v>
          </cell>
          <cell r="DP30">
            <v>88</v>
          </cell>
          <cell r="DQ30">
            <v>96</v>
          </cell>
          <cell r="DR30">
            <v>16</v>
          </cell>
          <cell r="DS30">
            <v>280</v>
          </cell>
          <cell r="DT30">
            <v>156</v>
          </cell>
          <cell r="DU30">
            <v>28</v>
          </cell>
          <cell r="DV30">
            <v>12</v>
          </cell>
          <cell r="DW30">
            <v>16</v>
          </cell>
          <cell r="DX30">
            <v>96</v>
          </cell>
          <cell r="DY30">
            <v>276</v>
          </cell>
          <cell r="DZ30">
            <v>160</v>
          </cell>
          <cell r="EA30">
            <v>16</v>
          </cell>
          <cell r="EB30">
            <v>8</v>
          </cell>
          <cell r="EC30">
            <v>8</v>
          </cell>
          <cell r="ED30">
            <v>100</v>
          </cell>
          <cell r="EE30">
            <v>104</v>
          </cell>
          <cell r="EF30">
            <v>80</v>
          </cell>
          <cell r="EG30">
            <v>72</v>
          </cell>
          <cell r="EH30">
            <v>20</v>
          </cell>
          <cell r="EI30">
            <v>4</v>
          </cell>
          <cell r="EJ30">
            <v>120</v>
          </cell>
          <cell r="EK30">
            <v>44</v>
          </cell>
          <cell r="EL30">
            <v>72</v>
          </cell>
          <cell r="EM30">
            <v>36</v>
          </cell>
          <cell r="EN30">
            <v>4</v>
          </cell>
        </row>
        <row r="31">
          <cell r="A31" t="str">
            <v>37233</v>
          </cell>
          <cell r="B31" t="str">
            <v>Saint-Pierre-des-Corps</v>
          </cell>
          <cell r="C31" t="str">
            <v>Tour(s)plus</v>
          </cell>
          <cell r="D31">
            <v>6888.2534809999997</v>
          </cell>
          <cell r="E31">
            <v>2437.1195819999998</v>
          </cell>
          <cell r="F31">
            <v>874.97264600000005</v>
          </cell>
          <cell r="G31">
            <v>1562.146935</v>
          </cell>
          <cell r="H31">
            <v>99.534627999999998</v>
          </cell>
          <cell r="I31">
            <v>4351.5992720000004</v>
          </cell>
          <cell r="J31">
            <v>1952.3756000000001</v>
          </cell>
          <cell r="K31">
            <v>1715.4113930000001</v>
          </cell>
          <cell r="L31">
            <v>683.81227899999999</v>
          </cell>
          <cell r="M31">
            <v>6544</v>
          </cell>
          <cell r="N31">
            <v>2052</v>
          </cell>
          <cell r="O31">
            <v>844</v>
          </cell>
          <cell r="P31">
            <v>1208</v>
          </cell>
          <cell r="Q31">
            <v>80</v>
          </cell>
          <cell r="R31">
            <v>4412</v>
          </cell>
          <cell r="S31">
            <v>1844</v>
          </cell>
          <cell r="T31">
            <v>1924</v>
          </cell>
          <cell r="U31">
            <v>644</v>
          </cell>
          <cell r="V31">
            <v>15354.062153999999</v>
          </cell>
          <cell r="W31">
            <v>2437.1195819999998</v>
          </cell>
          <cell r="X31">
            <v>874.97264600000005</v>
          </cell>
          <cell r="Y31">
            <v>1562.146935</v>
          </cell>
          <cell r="Z31">
            <v>253.47341399999999</v>
          </cell>
          <cell r="AA31">
            <v>12663.469158</v>
          </cell>
          <cell r="AB31">
            <v>3975.01692</v>
          </cell>
          <cell r="AC31">
            <v>6834.7286990000002</v>
          </cell>
          <cell r="AD31">
            <v>1853.72354</v>
          </cell>
          <cell r="AE31">
            <v>15544</v>
          </cell>
          <cell r="AF31">
            <v>2052</v>
          </cell>
          <cell r="AG31">
            <v>844</v>
          </cell>
          <cell r="AH31">
            <v>1208</v>
          </cell>
          <cell r="AI31">
            <v>176</v>
          </cell>
          <cell r="AJ31">
            <v>13316</v>
          </cell>
          <cell r="AK31">
            <v>3820</v>
          </cell>
          <cell r="AL31">
            <v>7656</v>
          </cell>
          <cell r="AM31">
            <v>1840</v>
          </cell>
          <cell r="AN31">
            <v>6888.2534809999997</v>
          </cell>
          <cell r="AO31">
            <v>15359.062153999999</v>
          </cell>
          <cell r="AP31">
            <v>6541</v>
          </cell>
          <cell r="AQ31">
            <v>15534</v>
          </cell>
          <cell r="AR31">
            <v>6674</v>
          </cell>
          <cell r="AS31">
            <v>17785</v>
          </cell>
          <cell r="AT31">
            <v>6405</v>
          </cell>
          <cell r="AU31">
            <v>18179</v>
          </cell>
          <cell r="AV31">
            <v>5747</v>
          </cell>
          <cell r="AW31">
            <v>18002</v>
          </cell>
          <cell r="AX31">
            <v>4506</v>
          </cell>
          <cell r="AY31">
            <v>15005</v>
          </cell>
          <cell r="AZ31">
            <v>12881.134596</v>
          </cell>
          <cell r="BA31">
            <v>1080.389383</v>
          </cell>
          <cell r="BB31">
            <v>989.59656800000005</v>
          </cell>
          <cell r="BC31">
            <v>2739.8281149999998</v>
          </cell>
          <cell r="BD31">
            <v>3191.8530730000002</v>
          </cell>
          <cell r="BE31">
            <v>1962.524261</v>
          </cell>
          <cell r="BF31">
            <v>2145.081983</v>
          </cell>
          <cell r="BG31">
            <v>771.86121400000002</v>
          </cell>
          <cell r="BH31">
            <v>991.24614499999996</v>
          </cell>
          <cell r="BI31">
            <v>948.25366499999996</v>
          </cell>
          <cell r="BJ31">
            <v>2660.144718</v>
          </cell>
          <cell r="BK31">
            <v>3168.083842</v>
          </cell>
          <cell r="BL31">
            <v>1954.6610129999999</v>
          </cell>
          <cell r="BM31">
            <v>2143.3042049999999</v>
          </cell>
          <cell r="BN31">
            <v>770.86121400000002</v>
          </cell>
          <cell r="BO31">
            <v>23.728701000000001</v>
          </cell>
          <cell r="BP31">
            <v>158.05996400000001</v>
          </cell>
          <cell r="BQ31">
            <v>340.54253</v>
          </cell>
          <cell r="BR31">
            <v>549.67404899999997</v>
          </cell>
          <cell r="BS31">
            <v>381.46220499999998</v>
          </cell>
          <cell r="BT31">
            <v>633.62389199999996</v>
          </cell>
          <cell r="BU31">
            <v>347.02824099999998</v>
          </cell>
          <cell r="BV31">
            <v>33.153911999999998</v>
          </cell>
          <cell r="BW31">
            <v>234.04178899999999</v>
          </cell>
          <cell r="BX31">
            <v>1800.1241170000001</v>
          </cell>
          <cell r="BY31">
            <v>2199.4525600000002</v>
          </cell>
          <cell r="BZ31">
            <v>1477.53124</v>
          </cell>
          <cell r="CA31">
            <v>1430.03766</v>
          </cell>
          <cell r="CB31">
            <v>378.71090099999998</v>
          </cell>
          <cell r="CC31">
            <v>1135</v>
          </cell>
          <cell r="CD31">
            <v>1006</v>
          </cell>
          <cell r="CE31">
            <v>3156</v>
          </cell>
          <cell r="CF31">
            <v>3353</v>
          </cell>
          <cell r="CG31">
            <v>1511</v>
          </cell>
          <cell r="CH31">
            <v>2069</v>
          </cell>
          <cell r="CI31">
            <v>544</v>
          </cell>
          <cell r="CJ31">
            <v>11</v>
          </cell>
          <cell r="CK31">
            <v>83</v>
          </cell>
          <cell r="CL31">
            <v>425</v>
          </cell>
          <cell r="CM31">
            <v>392</v>
          </cell>
          <cell r="CN31">
            <v>247</v>
          </cell>
          <cell r="CO31">
            <v>605</v>
          </cell>
          <cell r="CP31">
            <v>292</v>
          </cell>
          <cell r="CQ31">
            <v>6299.5165070000003</v>
          </cell>
          <cell r="CR31">
            <v>4491.665994</v>
          </cell>
          <cell r="CS31">
            <v>1083.528912</v>
          </cell>
          <cell r="CT31">
            <v>1006.423184</v>
          </cell>
          <cell r="CU31">
            <v>7.0268179999999996</v>
          </cell>
          <cell r="CV31">
            <v>160.04055099999999</v>
          </cell>
          <cell r="CW31">
            <v>355.57523099999997</v>
          </cell>
          <cell r="CX31">
            <v>796.73876499999994</v>
          </cell>
          <cell r="CY31">
            <v>866.94854299999997</v>
          </cell>
          <cell r="CZ31">
            <v>1539.314517</v>
          </cell>
          <cell r="DA31">
            <v>2677.6370710000001</v>
          </cell>
          <cell r="DB31">
            <v>484.97198300000002</v>
          </cell>
          <cell r="DC31">
            <v>24.516714</v>
          </cell>
          <cell r="DD31">
            <v>469.166494</v>
          </cell>
          <cell r="DE31">
            <v>891.00807099999997</v>
          </cell>
          <cell r="DF31">
            <v>1824.914847</v>
          </cell>
          <cell r="DG31">
            <v>2090.4569759999999</v>
          </cell>
          <cell r="DH31">
            <v>4372.4239239999997</v>
          </cell>
          <cell r="DI31">
            <v>4637.0423039999996</v>
          </cell>
          <cell r="DJ31">
            <v>1044.532825</v>
          </cell>
          <cell r="DK31">
            <v>12</v>
          </cell>
          <cell r="DL31">
            <v>172</v>
          </cell>
          <cell r="DM31">
            <v>304</v>
          </cell>
          <cell r="DN31">
            <v>732</v>
          </cell>
          <cell r="DO31">
            <v>732</v>
          </cell>
          <cell r="DP31">
            <v>1884</v>
          </cell>
          <cell r="DQ31">
            <v>2172</v>
          </cell>
          <cell r="DR31">
            <v>536</v>
          </cell>
          <cell r="DS31">
            <v>4364.3363570000001</v>
          </cell>
          <cell r="DT31">
            <v>1717.7146560000001</v>
          </cell>
          <cell r="DU31">
            <v>692.021522</v>
          </cell>
          <cell r="DV31">
            <v>116.804676</v>
          </cell>
          <cell r="DW31">
            <v>575.21684600000003</v>
          </cell>
          <cell r="DX31">
            <v>1954.600179</v>
          </cell>
          <cell r="DY31">
            <v>4456</v>
          </cell>
          <cell r="DZ31">
            <v>1928</v>
          </cell>
          <cell r="EA31">
            <v>676</v>
          </cell>
          <cell r="EB31">
            <v>96</v>
          </cell>
          <cell r="EC31">
            <v>580</v>
          </cell>
          <cell r="ED31">
            <v>1852</v>
          </cell>
          <cell r="EE31">
            <v>2196.120269</v>
          </cell>
          <cell r="EF31">
            <v>936.664039</v>
          </cell>
          <cell r="EG31">
            <v>730.34734300000002</v>
          </cell>
          <cell r="EH31">
            <v>348.13939900000003</v>
          </cell>
          <cell r="EI31">
            <v>153.06530799999999</v>
          </cell>
          <cell r="EJ31">
            <v>2192</v>
          </cell>
          <cell r="EK31">
            <v>972</v>
          </cell>
          <cell r="EL31">
            <v>796</v>
          </cell>
          <cell r="EM31">
            <v>328</v>
          </cell>
          <cell r="EN31">
            <v>168</v>
          </cell>
        </row>
        <row r="32">
          <cell r="A32" t="str">
            <v>37243</v>
          </cell>
          <cell r="B32" t="str">
            <v>Savonnières</v>
          </cell>
          <cell r="C32" t="str">
            <v>Tour(s)plus</v>
          </cell>
          <cell r="D32">
            <v>1082.269804</v>
          </cell>
          <cell r="E32">
            <v>158.590653</v>
          </cell>
          <cell r="F32">
            <v>69.565793999999997</v>
          </cell>
          <cell r="G32">
            <v>89.024859000000006</v>
          </cell>
          <cell r="H32">
            <v>15.459065000000001</v>
          </cell>
          <cell r="I32">
            <v>908.22008600000004</v>
          </cell>
          <cell r="J32">
            <v>382.61186600000002</v>
          </cell>
          <cell r="K32">
            <v>471.50149199999998</v>
          </cell>
          <cell r="L32">
            <v>54.106729000000001</v>
          </cell>
          <cell r="M32">
            <v>932</v>
          </cell>
          <cell r="N32">
            <v>140</v>
          </cell>
          <cell r="O32">
            <v>60</v>
          </cell>
          <cell r="P32">
            <v>80</v>
          </cell>
          <cell r="Q32">
            <v>12</v>
          </cell>
          <cell r="R32">
            <v>780</v>
          </cell>
          <cell r="S32">
            <v>308</v>
          </cell>
          <cell r="T32">
            <v>428</v>
          </cell>
          <cell r="U32">
            <v>44</v>
          </cell>
          <cell r="V32">
            <v>2933.492874</v>
          </cell>
          <cell r="W32">
            <v>158.590653</v>
          </cell>
          <cell r="X32">
            <v>69.565793999999997</v>
          </cell>
          <cell r="Y32">
            <v>89.024859000000006</v>
          </cell>
          <cell r="Z32">
            <v>38.647663000000001</v>
          </cell>
          <cell r="AA32">
            <v>2736.2545580000001</v>
          </cell>
          <cell r="AB32">
            <v>776.81803100000002</v>
          </cell>
          <cell r="AC32">
            <v>1816.4401720000001</v>
          </cell>
          <cell r="AD32">
            <v>142.996354</v>
          </cell>
          <cell r="AE32">
            <v>2568</v>
          </cell>
          <cell r="AF32">
            <v>140</v>
          </cell>
          <cell r="AG32">
            <v>60</v>
          </cell>
          <cell r="AH32">
            <v>80</v>
          </cell>
          <cell r="AI32">
            <v>24</v>
          </cell>
          <cell r="AJ32">
            <v>2404</v>
          </cell>
          <cell r="AK32">
            <v>636</v>
          </cell>
          <cell r="AL32">
            <v>1656</v>
          </cell>
          <cell r="AM32">
            <v>112</v>
          </cell>
          <cell r="AN32">
            <v>1079.3374209999999</v>
          </cell>
          <cell r="AO32">
            <v>2919</v>
          </cell>
          <cell r="AP32">
            <v>933</v>
          </cell>
          <cell r="AQ32">
            <v>2558</v>
          </cell>
          <cell r="AR32">
            <v>712</v>
          </cell>
          <cell r="AS32">
            <v>2030</v>
          </cell>
          <cell r="AT32">
            <v>618</v>
          </cell>
          <cell r="AU32">
            <v>1810</v>
          </cell>
          <cell r="AV32">
            <v>483</v>
          </cell>
          <cell r="AW32">
            <v>1446</v>
          </cell>
          <cell r="AX32">
            <v>405</v>
          </cell>
          <cell r="AY32">
            <v>1260</v>
          </cell>
          <cell r="AZ32">
            <v>2302.5697709999999</v>
          </cell>
          <cell r="BA32">
            <v>181.64401699999999</v>
          </cell>
          <cell r="BB32">
            <v>123.740139</v>
          </cell>
          <cell r="BC32">
            <v>494.690089</v>
          </cell>
          <cell r="BD32">
            <v>729.50845200000003</v>
          </cell>
          <cell r="BE32">
            <v>430.92144500000001</v>
          </cell>
          <cell r="BF32">
            <v>253.17600300000001</v>
          </cell>
          <cell r="BG32">
            <v>88.889624999999995</v>
          </cell>
          <cell r="BH32">
            <v>181.64401699999999</v>
          </cell>
          <cell r="BI32">
            <v>123.740139</v>
          </cell>
          <cell r="BJ32">
            <v>494.690089</v>
          </cell>
          <cell r="BK32">
            <v>729.50845200000003</v>
          </cell>
          <cell r="BL32">
            <v>430.92144500000001</v>
          </cell>
          <cell r="BM32">
            <v>253.17600300000001</v>
          </cell>
          <cell r="BN32">
            <v>88.889624999999995</v>
          </cell>
          <cell r="BO32">
            <v>0</v>
          </cell>
          <cell r="BP32">
            <v>6.7633409999999996</v>
          </cell>
          <cell r="BQ32">
            <v>17.391448</v>
          </cell>
          <cell r="BR32">
            <v>32.884321999999997</v>
          </cell>
          <cell r="BS32">
            <v>32.850513999999997</v>
          </cell>
          <cell r="BT32">
            <v>39.647663000000001</v>
          </cell>
          <cell r="BU32">
            <v>27.053363999999998</v>
          </cell>
          <cell r="BV32">
            <v>0.96619200000000005</v>
          </cell>
          <cell r="BW32">
            <v>30.985747</v>
          </cell>
          <cell r="BX32">
            <v>420.29333800000001</v>
          </cell>
          <cell r="BY32">
            <v>658.97646699999996</v>
          </cell>
          <cell r="BZ32">
            <v>386.476632</v>
          </cell>
          <cell r="CA32">
            <v>201.93404000000001</v>
          </cell>
          <cell r="CB32">
            <v>49.275770999999999</v>
          </cell>
          <cell r="CC32">
            <v>172</v>
          </cell>
          <cell r="CD32">
            <v>101</v>
          </cell>
          <cell r="CE32">
            <v>569</v>
          </cell>
          <cell r="CF32">
            <v>627</v>
          </cell>
          <cell r="CG32">
            <v>226</v>
          </cell>
          <cell r="CH32">
            <v>271</v>
          </cell>
          <cell r="CI32">
            <v>47</v>
          </cell>
          <cell r="CJ32">
            <v>0</v>
          </cell>
          <cell r="CK32">
            <v>3</v>
          </cell>
          <cell r="CL32">
            <v>15</v>
          </cell>
          <cell r="CM32">
            <v>32</v>
          </cell>
          <cell r="CN32">
            <v>13</v>
          </cell>
          <cell r="CO32">
            <v>56</v>
          </cell>
          <cell r="CP32">
            <v>20</v>
          </cell>
          <cell r="CQ32">
            <v>1457.0507130000001</v>
          </cell>
          <cell r="CR32">
            <v>619.39642000000003</v>
          </cell>
          <cell r="CS32">
            <v>94.686774999999997</v>
          </cell>
          <cell r="CT32">
            <v>131.43586300000001</v>
          </cell>
          <cell r="CU32">
            <v>7.729533</v>
          </cell>
          <cell r="CV32">
            <v>108.21345700000001</v>
          </cell>
          <cell r="CW32">
            <v>170.04971800000001</v>
          </cell>
          <cell r="CX32">
            <v>162.32018600000001</v>
          </cell>
          <cell r="CY32">
            <v>73.565793999999997</v>
          </cell>
          <cell r="CZ32">
            <v>173.91448500000001</v>
          </cell>
          <cell r="DA32">
            <v>382.61186600000002</v>
          </cell>
          <cell r="DB32">
            <v>3.8647659999999999</v>
          </cell>
          <cell r="DC32">
            <v>27.053363999999998</v>
          </cell>
          <cell r="DD32">
            <v>378.74709999999999</v>
          </cell>
          <cell r="DE32">
            <v>537.20251900000005</v>
          </cell>
          <cell r="DF32">
            <v>502.419622</v>
          </cell>
          <cell r="DG32">
            <v>201.103083</v>
          </cell>
          <cell r="DH32">
            <v>560.39111700000001</v>
          </cell>
          <cell r="DI32">
            <v>714.98176999999998</v>
          </cell>
          <cell r="DJ32">
            <v>11.594298999999999</v>
          </cell>
          <cell r="DK32">
            <v>8</v>
          </cell>
          <cell r="DL32">
            <v>88</v>
          </cell>
          <cell r="DM32">
            <v>88</v>
          </cell>
          <cell r="DN32">
            <v>212</v>
          </cell>
          <cell r="DO32">
            <v>76</v>
          </cell>
          <cell r="DP32">
            <v>164</v>
          </cell>
          <cell r="DQ32">
            <v>256</v>
          </cell>
          <cell r="DR32">
            <v>40</v>
          </cell>
          <cell r="DS32">
            <v>912.08485299999995</v>
          </cell>
          <cell r="DT32">
            <v>471.50149199999998</v>
          </cell>
          <cell r="DU32">
            <v>54.106729000000001</v>
          </cell>
          <cell r="DV32">
            <v>19.323831999999999</v>
          </cell>
          <cell r="DW32">
            <v>34.782896999999998</v>
          </cell>
          <cell r="DX32">
            <v>386.476632</v>
          </cell>
          <cell r="DY32">
            <v>784</v>
          </cell>
          <cell r="DZ32">
            <v>428</v>
          </cell>
          <cell r="EA32">
            <v>44</v>
          </cell>
          <cell r="EB32">
            <v>12</v>
          </cell>
          <cell r="EC32">
            <v>32</v>
          </cell>
          <cell r="ED32">
            <v>312</v>
          </cell>
          <cell r="EE32">
            <v>405.80046399999998</v>
          </cell>
          <cell r="EF32">
            <v>181.64401699999999</v>
          </cell>
          <cell r="EG32">
            <v>247.345045</v>
          </cell>
          <cell r="EH32">
            <v>65.701027999999994</v>
          </cell>
          <cell r="EI32">
            <v>11.594298999999999</v>
          </cell>
          <cell r="EJ32">
            <v>368</v>
          </cell>
          <cell r="EK32">
            <v>132</v>
          </cell>
          <cell r="EL32">
            <v>220</v>
          </cell>
          <cell r="EM32">
            <v>56</v>
          </cell>
          <cell r="EN32">
            <v>8</v>
          </cell>
        </row>
        <row r="33">
          <cell r="A33" t="str">
            <v>37250</v>
          </cell>
          <cell r="B33" t="str">
            <v>Sorigny</v>
          </cell>
          <cell r="C33" t="str">
            <v>CC du Val de l'Indre</v>
          </cell>
          <cell r="D33">
            <v>774.56986600000005</v>
          </cell>
          <cell r="E33">
            <v>150.94182000000001</v>
          </cell>
          <cell r="F33">
            <v>63.554451</v>
          </cell>
          <cell r="G33">
            <v>87.387369000000007</v>
          </cell>
          <cell r="H33">
            <v>11.916459</v>
          </cell>
          <cell r="I33">
            <v>611.71158600000001</v>
          </cell>
          <cell r="J33">
            <v>254.21780200000001</v>
          </cell>
          <cell r="K33">
            <v>313.80009899999999</v>
          </cell>
          <cell r="L33">
            <v>43.693685000000002</v>
          </cell>
          <cell r="M33">
            <v>676</v>
          </cell>
          <cell r="N33">
            <v>112</v>
          </cell>
          <cell r="O33">
            <v>56</v>
          </cell>
          <cell r="P33">
            <v>56</v>
          </cell>
          <cell r="Q33">
            <v>12</v>
          </cell>
          <cell r="R33">
            <v>552</v>
          </cell>
          <cell r="S33">
            <v>196</v>
          </cell>
          <cell r="T33">
            <v>320</v>
          </cell>
          <cell r="U33">
            <v>36</v>
          </cell>
          <cell r="V33">
            <v>1997.9930380000001</v>
          </cell>
          <cell r="W33">
            <v>150.94182000000001</v>
          </cell>
          <cell r="X33">
            <v>63.554451</v>
          </cell>
          <cell r="Y33">
            <v>87.387369000000007</v>
          </cell>
          <cell r="Z33">
            <v>35.749378</v>
          </cell>
          <cell r="AA33">
            <v>1811.3018400000001</v>
          </cell>
          <cell r="AB33">
            <v>520.35206400000004</v>
          </cell>
          <cell r="AC33">
            <v>1191.645947</v>
          </cell>
          <cell r="AD33">
            <v>99.303828999999993</v>
          </cell>
          <cell r="AE33">
            <v>1860</v>
          </cell>
          <cell r="AF33">
            <v>112</v>
          </cell>
          <cell r="AG33">
            <v>56</v>
          </cell>
          <cell r="AH33">
            <v>56</v>
          </cell>
          <cell r="AI33">
            <v>24</v>
          </cell>
          <cell r="AJ33">
            <v>1724</v>
          </cell>
          <cell r="AK33">
            <v>396</v>
          </cell>
          <cell r="AL33">
            <v>1232</v>
          </cell>
          <cell r="AM33">
            <v>96</v>
          </cell>
          <cell r="AN33">
            <v>774.56986600000005</v>
          </cell>
          <cell r="AO33">
            <v>1997</v>
          </cell>
          <cell r="AP33">
            <v>678</v>
          </cell>
          <cell r="AQ33">
            <v>1886</v>
          </cell>
          <cell r="AR33">
            <v>560</v>
          </cell>
          <cell r="AS33">
            <v>1631</v>
          </cell>
          <cell r="AT33">
            <v>479</v>
          </cell>
          <cell r="AU33">
            <v>1517</v>
          </cell>
          <cell r="AV33">
            <v>390</v>
          </cell>
          <cell r="AW33">
            <v>1313</v>
          </cell>
          <cell r="AX33">
            <v>362</v>
          </cell>
          <cell r="AY33">
            <v>1247</v>
          </cell>
          <cell r="AZ33">
            <v>1686.3543070000001</v>
          </cell>
          <cell r="BA33">
            <v>180.778098</v>
          </cell>
          <cell r="BB33">
            <v>112.246025</v>
          </cell>
          <cell r="BC33">
            <v>400.25708600000002</v>
          </cell>
          <cell r="BD33">
            <v>456.83242200000001</v>
          </cell>
          <cell r="BE33">
            <v>236.34311299999999</v>
          </cell>
          <cell r="BF33">
            <v>240.31526600000001</v>
          </cell>
          <cell r="BG33">
            <v>59.582296999999997</v>
          </cell>
          <cell r="BH33">
            <v>136.046246</v>
          </cell>
          <cell r="BI33">
            <v>85.401292999999995</v>
          </cell>
          <cell r="BJ33">
            <v>391.25708600000002</v>
          </cell>
          <cell r="BK33">
            <v>451.83242200000001</v>
          </cell>
          <cell r="BL33">
            <v>236.34311299999999</v>
          </cell>
          <cell r="BM33">
            <v>240.31526600000001</v>
          </cell>
          <cell r="BN33">
            <v>59.582296999999997</v>
          </cell>
          <cell r="BO33">
            <v>1.9860770000000001</v>
          </cell>
          <cell r="BP33">
            <v>4.9651909999999999</v>
          </cell>
          <cell r="BQ33">
            <v>25.818995999999999</v>
          </cell>
          <cell r="BR33">
            <v>31.777225000000001</v>
          </cell>
          <cell r="BS33">
            <v>23.832919</v>
          </cell>
          <cell r="BT33">
            <v>39.721532000000003</v>
          </cell>
          <cell r="BU33">
            <v>21.846841999999999</v>
          </cell>
          <cell r="BV33">
            <v>3.9748700000000001</v>
          </cell>
          <cell r="BW33">
            <v>31.798110000000001</v>
          </cell>
          <cell r="BX33">
            <v>315.83490799999998</v>
          </cell>
          <cell r="BY33">
            <v>392.27797099999998</v>
          </cell>
          <cell r="BZ33">
            <v>198.60765799999999</v>
          </cell>
          <cell r="CA33">
            <v>191.65638999999999</v>
          </cell>
          <cell r="CB33">
            <v>27.805071999999999</v>
          </cell>
          <cell r="CC33">
            <v>108</v>
          </cell>
          <cell r="CD33">
            <v>95</v>
          </cell>
          <cell r="CE33">
            <v>458</v>
          </cell>
          <cell r="CF33">
            <v>381</v>
          </cell>
          <cell r="CG33">
            <v>182</v>
          </cell>
          <cell r="CH33">
            <v>200</v>
          </cell>
          <cell r="CI33">
            <v>45</v>
          </cell>
          <cell r="CJ33">
            <v>0</v>
          </cell>
          <cell r="CK33">
            <v>4</v>
          </cell>
          <cell r="CL33">
            <v>23</v>
          </cell>
          <cell r="CM33">
            <v>24</v>
          </cell>
          <cell r="CN33">
            <v>11</v>
          </cell>
          <cell r="CO33">
            <v>35</v>
          </cell>
          <cell r="CP33">
            <v>17</v>
          </cell>
          <cell r="CQ33">
            <v>922.53953300000001</v>
          </cell>
          <cell r="CR33">
            <v>593.01218900000003</v>
          </cell>
          <cell r="CS33">
            <v>84.408254999999997</v>
          </cell>
          <cell r="CT33">
            <v>86.394330999999994</v>
          </cell>
          <cell r="CU33">
            <v>23.832919</v>
          </cell>
          <cell r="CV33">
            <v>55.610143999999998</v>
          </cell>
          <cell r="CW33">
            <v>67.526604000000006</v>
          </cell>
          <cell r="CX33">
            <v>123.136748</v>
          </cell>
          <cell r="CY33">
            <v>79.443062999999995</v>
          </cell>
          <cell r="CZ33">
            <v>146.96966699999999</v>
          </cell>
          <cell r="DA33">
            <v>270.10641500000003</v>
          </cell>
          <cell r="DB33">
            <v>7.9443060000000001</v>
          </cell>
          <cell r="DC33">
            <v>75.470910000000003</v>
          </cell>
          <cell r="DD33">
            <v>166.830433</v>
          </cell>
          <cell r="DE33">
            <v>210.52411699999999</v>
          </cell>
          <cell r="DF33">
            <v>425.02038800000003</v>
          </cell>
          <cell r="DG33">
            <v>182.71904499999999</v>
          </cell>
          <cell r="DH33">
            <v>413.103928</v>
          </cell>
          <cell r="DI33">
            <v>512.40775699999995</v>
          </cell>
          <cell r="DJ33">
            <v>11.916459</v>
          </cell>
          <cell r="DK33">
            <v>36</v>
          </cell>
          <cell r="DL33">
            <v>20</v>
          </cell>
          <cell r="DM33">
            <v>32</v>
          </cell>
          <cell r="DN33">
            <v>120</v>
          </cell>
          <cell r="DO33">
            <v>72</v>
          </cell>
          <cell r="DP33">
            <v>168</v>
          </cell>
          <cell r="DQ33">
            <v>188</v>
          </cell>
          <cell r="DR33">
            <v>40</v>
          </cell>
          <cell r="DS33">
            <v>611.71158600000001</v>
          </cell>
          <cell r="DT33">
            <v>313.80009899999999</v>
          </cell>
          <cell r="DU33">
            <v>43.693685000000002</v>
          </cell>
          <cell r="DV33">
            <v>15.888612999999999</v>
          </cell>
          <cell r="DW33">
            <v>27.805071999999999</v>
          </cell>
          <cell r="DX33">
            <v>254.21780200000001</v>
          </cell>
          <cell r="DY33">
            <v>556</v>
          </cell>
          <cell r="DZ33">
            <v>320</v>
          </cell>
          <cell r="EA33">
            <v>40</v>
          </cell>
          <cell r="EB33">
            <v>0</v>
          </cell>
          <cell r="EC33">
            <v>40</v>
          </cell>
          <cell r="ED33">
            <v>196</v>
          </cell>
          <cell r="EE33">
            <v>309.827946</v>
          </cell>
          <cell r="EF33">
            <v>107.248135</v>
          </cell>
          <cell r="EG33">
            <v>150.94182000000001</v>
          </cell>
          <cell r="EH33">
            <v>35.749378</v>
          </cell>
          <cell r="EI33">
            <v>7.9443060000000001</v>
          </cell>
          <cell r="EJ33">
            <v>252</v>
          </cell>
          <cell r="EK33">
            <v>112</v>
          </cell>
          <cell r="EL33">
            <v>140</v>
          </cell>
          <cell r="EM33">
            <v>48</v>
          </cell>
          <cell r="EN33">
            <v>4</v>
          </cell>
        </row>
        <row r="34">
          <cell r="A34" t="str">
            <v>37261</v>
          </cell>
          <cell r="B34" t="str">
            <v>Tours</v>
          </cell>
          <cell r="C34" t="str">
            <v>Tour(s)plus</v>
          </cell>
          <cell r="D34">
            <v>72381.599503000005</v>
          </cell>
          <cell r="E34">
            <v>38011.457417999998</v>
          </cell>
          <cell r="F34">
            <v>14392.286724</v>
          </cell>
          <cell r="G34">
            <v>23619.170694</v>
          </cell>
          <cell r="H34">
            <v>2373.793651</v>
          </cell>
          <cell r="I34">
            <v>31996.348434</v>
          </cell>
          <cell r="J34">
            <v>15205.139515000001</v>
          </cell>
          <cell r="K34">
            <v>11119.432293</v>
          </cell>
          <cell r="L34">
            <v>5671.7766259999999</v>
          </cell>
          <cell r="M34">
            <v>66636</v>
          </cell>
          <cell r="N34">
            <v>32288</v>
          </cell>
          <cell r="O34">
            <v>12148</v>
          </cell>
          <cell r="P34">
            <v>20140</v>
          </cell>
          <cell r="Q34">
            <v>1980</v>
          </cell>
          <cell r="R34">
            <v>32368</v>
          </cell>
          <cell r="S34">
            <v>14944</v>
          </cell>
          <cell r="T34">
            <v>12412</v>
          </cell>
          <cell r="U34">
            <v>5012</v>
          </cell>
          <cell r="V34">
            <v>131543.59465899999</v>
          </cell>
          <cell r="W34">
            <v>38011.457417999998</v>
          </cell>
          <cell r="X34">
            <v>14392.286724</v>
          </cell>
          <cell r="Y34">
            <v>23619.170694</v>
          </cell>
          <cell r="Z34">
            <v>5408.5188440000002</v>
          </cell>
          <cell r="AA34">
            <v>88123.618396000005</v>
          </cell>
          <cell r="AB34">
            <v>30753.868909000001</v>
          </cell>
          <cell r="AC34">
            <v>42763.936035999999</v>
          </cell>
          <cell r="AD34">
            <v>14605.813452</v>
          </cell>
          <cell r="AE34">
            <v>127776</v>
          </cell>
          <cell r="AF34">
            <v>32288</v>
          </cell>
          <cell r="AG34">
            <v>12148</v>
          </cell>
          <cell r="AH34">
            <v>20140</v>
          </cell>
          <cell r="AI34">
            <v>4388</v>
          </cell>
          <cell r="AJ34">
            <v>91100</v>
          </cell>
          <cell r="AK34">
            <v>30628</v>
          </cell>
          <cell r="AL34">
            <v>47760</v>
          </cell>
          <cell r="AM34">
            <v>12712</v>
          </cell>
          <cell r="AN34">
            <v>72386.297416999994</v>
          </cell>
          <cell r="AO34">
            <v>131545.29257300001</v>
          </cell>
          <cell r="AP34">
            <v>66627</v>
          </cell>
          <cell r="AQ34">
            <v>127763</v>
          </cell>
          <cell r="AR34">
            <v>58147</v>
          </cell>
          <cell r="AS34">
            <v>124671</v>
          </cell>
          <cell r="AT34">
            <v>55124</v>
          </cell>
          <cell r="AU34">
            <v>127573</v>
          </cell>
          <cell r="AV34">
            <v>52020</v>
          </cell>
          <cell r="AW34">
            <v>135271</v>
          </cell>
          <cell r="AX34">
            <v>43073</v>
          </cell>
          <cell r="AY34">
            <v>122284</v>
          </cell>
          <cell r="AZ34">
            <v>117748.499476</v>
          </cell>
          <cell r="BA34">
            <v>11871.628629999999</v>
          </cell>
          <cell r="BB34">
            <v>17627.073337000002</v>
          </cell>
          <cell r="BC34">
            <v>28833.184165999999</v>
          </cell>
          <cell r="BD34">
            <v>22915.961007000002</v>
          </cell>
          <cell r="BE34">
            <v>12872.764277</v>
          </cell>
          <cell r="BF34">
            <v>15551.487072</v>
          </cell>
          <cell r="BG34">
            <v>8076.400987</v>
          </cell>
          <cell r="BH34">
            <v>10341.020172</v>
          </cell>
          <cell r="BI34">
            <v>16236.744065000001</v>
          </cell>
          <cell r="BJ34">
            <v>28063.031078</v>
          </cell>
          <cell r="BK34">
            <v>22514.219125</v>
          </cell>
          <cell r="BL34">
            <v>12793.765776</v>
          </cell>
          <cell r="BM34">
            <v>15326.309388</v>
          </cell>
          <cell r="BN34">
            <v>7250.1019999999999</v>
          </cell>
          <cell r="BO34">
            <v>2872.1706079999999</v>
          </cell>
          <cell r="BP34">
            <v>7656.1498430000001</v>
          </cell>
          <cell r="BQ34">
            <v>8341.8510029999998</v>
          </cell>
          <cell r="BR34">
            <v>5386.349397</v>
          </cell>
          <cell r="BS34">
            <v>3873.822553</v>
          </cell>
          <cell r="BT34">
            <v>5687.1451989999996</v>
          </cell>
          <cell r="BU34">
            <v>4197.6519790000002</v>
          </cell>
          <cell r="BV34">
            <v>542.07956799999999</v>
          </cell>
          <cell r="BW34">
            <v>4343.6154930000002</v>
          </cell>
          <cell r="BX34">
            <v>16129.736956999999</v>
          </cell>
          <cell r="BY34">
            <v>13836.637069</v>
          </cell>
          <cell r="BZ34">
            <v>8213.7086190000009</v>
          </cell>
          <cell r="CA34">
            <v>9110.1019759999999</v>
          </cell>
          <cell r="CB34">
            <v>2711.0827450000002</v>
          </cell>
          <cell r="CC34">
            <v>9599</v>
          </cell>
          <cell r="CD34">
            <v>15491</v>
          </cell>
          <cell r="CE34">
            <v>29702</v>
          </cell>
          <cell r="CF34">
            <v>22652</v>
          </cell>
          <cell r="CG34">
            <v>10441</v>
          </cell>
          <cell r="CH34">
            <v>15474</v>
          </cell>
          <cell r="CI34">
            <v>5518</v>
          </cell>
          <cell r="CJ34">
            <v>2203</v>
          </cell>
          <cell r="CK34">
            <v>6770</v>
          </cell>
          <cell r="CL34">
            <v>7873</v>
          </cell>
          <cell r="CM34">
            <v>4481</v>
          </cell>
          <cell r="CN34">
            <v>2463</v>
          </cell>
          <cell r="CO34">
            <v>5302</v>
          </cell>
          <cell r="CP34">
            <v>3186</v>
          </cell>
          <cell r="CQ34">
            <v>39857.729429999999</v>
          </cell>
          <cell r="CR34">
            <v>59050.041512000003</v>
          </cell>
          <cell r="CS34">
            <v>9162.1862600000004</v>
          </cell>
          <cell r="CT34">
            <v>9678.5422739999995</v>
          </cell>
          <cell r="CU34">
            <v>31.342676000000001</v>
          </cell>
          <cell r="CV34">
            <v>1906.4177259999999</v>
          </cell>
          <cell r="CW34">
            <v>8019.1907270000002</v>
          </cell>
          <cell r="CX34">
            <v>11126.861652</v>
          </cell>
          <cell r="CY34">
            <v>10783.142239000001</v>
          </cell>
          <cell r="CZ34">
            <v>9561.9710419999992</v>
          </cell>
          <cell r="DA34">
            <v>19735.293121999999</v>
          </cell>
          <cell r="DB34">
            <v>11217.38032</v>
          </cell>
          <cell r="DC34">
            <v>98.765675999999999</v>
          </cell>
          <cell r="DD34">
            <v>4905.9637919999996</v>
          </cell>
          <cell r="DE34">
            <v>18566.712734000001</v>
          </cell>
          <cell r="DF34">
            <v>22005.545912000001</v>
          </cell>
          <cell r="DG34">
            <v>19531.946486000001</v>
          </cell>
          <cell r="DH34">
            <v>21955.468140000001</v>
          </cell>
          <cell r="DI34">
            <v>29803.310296</v>
          </cell>
          <cell r="DJ34">
            <v>14675.881624</v>
          </cell>
          <cell r="DK34">
            <v>44</v>
          </cell>
          <cell r="DL34">
            <v>2016</v>
          </cell>
          <cell r="DM34">
            <v>6188</v>
          </cell>
          <cell r="DN34">
            <v>9348</v>
          </cell>
          <cell r="DO34">
            <v>9484</v>
          </cell>
          <cell r="DP34">
            <v>9584</v>
          </cell>
          <cell r="DQ34">
            <v>17296</v>
          </cell>
          <cell r="DR34">
            <v>12676</v>
          </cell>
          <cell r="DS34">
            <v>32087.054042</v>
          </cell>
          <cell r="DT34">
            <v>11122.525125</v>
          </cell>
          <cell r="DU34">
            <v>5731.530538</v>
          </cell>
          <cell r="DV34">
            <v>717.09758099999999</v>
          </cell>
          <cell r="DW34">
            <v>5014.4329580000003</v>
          </cell>
          <cell r="DX34">
            <v>15232.998379000001</v>
          </cell>
          <cell r="DY34">
            <v>32504</v>
          </cell>
          <cell r="DZ34">
            <v>12424</v>
          </cell>
          <cell r="EA34">
            <v>5096</v>
          </cell>
          <cell r="EB34">
            <v>588</v>
          </cell>
          <cell r="EC34">
            <v>4508</v>
          </cell>
          <cell r="ED34">
            <v>14984</v>
          </cell>
          <cell r="EE34">
            <v>16450.531902999999</v>
          </cell>
          <cell r="EF34">
            <v>7488.3118910000003</v>
          </cell>
          <cell r="EG34">
            <v>5626.6524220000001</v>
          </cell>
          <cell r="EH34">
            <v>1830.4883359999999</v>
          </cell>
          <cell r="EI34">
            <v>691.06949099999997</v>
          </cell>
          <cell r="EJ34">
            <v>16796</v>
          </cell>
          <cell r="EK34">
            <v>7604</v>
          </cell>
          <cell r="EL34">
            <v>5452</v>
          </cell>
          <cell r="EM34">
            <v>1904</v>
          </cell>
          <cell r="EN34">
            <v>748</v>
          </cell>
        </row>
        <row r="35">
          <cell r="A35" t="str">
            <v>37263</v>
          </cell>
          <cell r="B35" t="str">
            <v>Truyes</v>
          </cell>
          <cell r="C35" t="str">
            <v>CC du Val de l'Indre</v>
          </cell>
          <cell r="D35">
            <v>764</v>
          </cell>
          <cell r="E35">
            <v>152</v>
          </cell>
          <cell r="F35">
            <v>56</v>
          </cell>
          <cell r="G35">
            <v>96</v>
          </cell>
          <cell r="H35">
            <v>16</v>
          </cell>
          <cell r="I35">
            <v>596</v>
          </cell>
          <cell r="J35">
            <v>268</v>
          </cell>
          <cell r="K35">
            <v>276</v>
          </cell>
          <cell r="L35">
            <v>52</v>
          </cell>
          <cell r="M35">
            <v>633</v>
          </cell>
          <cell r="N35">
            <v>109</v>
          </cell>
          <cell r="O35">
            <v>49</v>
          </cell>
          <cell r="P35">
            <v>60</v>
          </cell>
          <cell r="Q35">
            <v>0</v>
          </cell>
          <cell r="R35">
            <v>524</v>
          </cell>
          <cell r="S35">
            <v>202</v>
          </cell>
          <cell r="T35">
            <v>285</v>
          </cell>
          <cell r="U35">
            <v>37</v>
          </cell>
          <cell r="V35">
            <v>1980</v>
          </cell>
          <cell r="W35">
            <v>152</v>
          </cell>
          <cell r="X35">
            <v>56</v>
          </cell>
          <cell r="Y35">
            <v>96</v>
          </cell>
          <cell r="Z35">
            <v>48</v>
          </cell>
          <cell r="AA35">
            <v>1780</v>
          </cell>
          <cell r="AB35">
            <v>544</v>
          </cell>
          <cell r="AC35">
            <v>1088</v>
          </cell>
          <cell r="AD35">
            <v>148</v>
          </cell>
          <cell r="AE35">
            <v>1713</v>
          </cell>
          <cell r="AF35">
            <v>109</v>
          </cell>
          <cell r="AG35">
            <v>49</v>
          </cell>
          <cell r="AH35">
            <v>60</v>
          </cell>
          <cell r="AI35">
            <v>0</v>
          </cell>
          <cell r="AJ35">
            <v>1604</v>
          </cell>
          <cell r="AK35">
            <v>415</v>
          </cell>
          <cell r="AL35">
            <v>1101</v>
          </cell>
          <cell r="AM35">
            <v>88</v>
          </cell>
          <cell r="AN35">
            <v>763</v>
          </cell>
          <cell r="AO35">
            <v>1978</v>
          </cell>
          <cell r="AP35">
            <v>640</v>
          </cell>
          <cell r="AQ35">
            <v>1688</v>
          </cell>
          <cell r="AR35">
            <v>545</v>
          </cell>
          <cell r="AS35">
            <v>1584</v>
          </cell>
          <cell r="AT35">
            <v>422</v>
          </cell>
          <cell r="AU35">
            <v>1253</v>
          </cell>
          <cell r="AV35">
            <v>329</v>
          </cell>
          <cell r="AW35">
            <v>1002</v>
          </cell>
          <cell r="AX35">
            <v>251</v>
          </cell>
          <cell r="AY35">
            <v>781</v>
          </cell>
          <cell r="AZ35">
            <v>1586</v>
          </cell>
          <cell r="BA35">
            <v>125</v>
          </cell>
          <cell r="BB35">
            <v>66</v>
          </cell>
          <cell r="BC35">
            <v>413</v>
          </cell>
          <cell r="BD35">
            <v>475</v>
          </cell>
          <cell r="BE35">
            <v>228</v>
          </cell>
          <cell r="BF35">
            <v>215</v>
          </cell>
          <cell r="BG35">
            <v>64</v>
          </cell>
          <cell r="BH35">
            <v>125</v>
          </cell>
          <cell r="BI35">
            <v>65</v>
          </cell>
          <cell r="BJ35">
            <v>388</v>
          </cell>
          <cell r="BK35">
            <v>465</v>
          </cell>
          <cell r="BL35">
            <v>225</v>
          </cell>
          <cell r="BM35">
            <v>214</v>
          </cell>
          <cell r="BN35">
            <v>64</v>
          </cell>
          <cell r="BO35">
            <v>0</v>
          </cell>
          <cell r="BP35">
            <v>3</v>
          </cell>
          <cell r="BQ35">
            <v>21</v>
          </cell>
          <cell r="BR35">
            <v>22</v>
          </cell>
          <cell r="BS35">
            <v>25</v>
          </cell>
          <cell r="BT35">
            <v>49</v>
          </cell>
          <cell r="BU35">
            <v>32</v>
          </cell>
          <cell r="BV35">
            <v>2</v>
          </cell>
          <cell r="BW35">
            <v>19</v>
          </cell>
          <cell r="BX35">
            <v>333</v>
          </cell>
          <cell r="BY35">
            <v>406</v>
          </cell>
          <cell r="BZ35">
            <v>191</v>
          </cell>
          <cell r="CA35">
            <v>157</v>
          </cell>
          <cell r="CB35">
            <v>31</v>
          </cell>
          <cell r="CC35">
            <v>115</v>
          </cell>
          <cell r="CD35">
            <v>83</v>
          </cell>
          <cell r="CE35">
            <v>328</v>
          </cell>
          <cell r="CF35">
            <v>414</v>
          </cell>
          <cell r="CG35">
            <v>177</v>
          </cell>
          <cell r="CH35">
            <v>176</v>
          </cell>
          <cell r="CI35">
            <v>64</v>
          </cell>
          <cell r="CJ35">
            <v>1</v>
          </cell>
          <cell r="CK35">
            <v>2</v>
          </cell>
          <cell r="CL35">
            <v>13</v>
          </cell>
          <cell r="CM35">
            <v>12</v>
          </cell>
          <cell r="CN35">
            <v>17</v>
          </cell>
          <cell r="CO35">
            <v>40</v>
          </cell>
          <cell r="CP35">
            <v>30</v>
          </cell>
          <cell r="CQ35">
            <v>957</v>
          </cell>
          <cell r="CR35">
            <v>450</v>
          </cell>
          <cell r="CS35">
            <v>105</v>
          </cell>
          <cell r="CT35">
            <v>74</v>
          </cell>
          <cell r="CU35">
            <v>12</v>
          </cell>
          <cell r="CV35">
            <v>60</v>
          </cell>
          <cell r="CW35">
            <v>80</v>
          </cell>
          <cell r="CX35">
            <v>128</v>
          </cell>
          <cell r="CY35">
            <v>80</v>
          </cell>
          <cell r="CZ35">
            <v>136</v>
          </cell>
          <cell r="DA35">
            <v>256</v>
          </cell>
          <cell r="DB35">
            <v>12</v>
          </cell>
          <cell r="DC35">
            <v>36</v>
          </cell>
          <cell r="DD35">
            <v>180</v>
          </cell>
          <cell r="DE35">
            <v>228</v>
          </cell>
          <cell r="DF35">
            <v>392</v>
          </cell>
          <cell r="DG35">
            <v>224</v>
          </cell>
          <cell r="DH35">
            <v>480</v>
          </cell>
          <cell r="DI35">
            <v>420</v>
          </cell>
          <cell r="DJ35">
            <v>20</v>
          </cell>
          <cell r="DK35">
            <v>10</v>
          </cell>
          <cell r="DL35">
            <v>38</v>
          </cell>
          <cell r="DM35">
            <v>53</v>
          </cell>
          <cell r="DN35">
            <v>107</v>
          </cell>
          <cell r="DO35">
            <v>49</v>
          </cell>
          <cell r="DP35">
            <v>144</v>
          </cell>
          <cell r="DQ35">
            <v>210</v>
          </cell>
          <cell r="DR35">
            <v>22</v>
          </cell>
          <cell r="DS35">
            <v>596</v>
          </cell>
          <cell r="DT35">
            <v>276</v>
          </cell>
          <cell r="DU35">
            <v>52</v>
          </cell>
          <cell r="DV35">
            <v>8</v>
          </cell>
          <cell r="DW35">
            <v>44</v>
          </cell>
          <cell r="DX35">
            <v>268</v>
          </cell>
          <cell r="DY35">
            <v>524</v>
          </cell>
          <cell r="DZ35">
            <v>285</v>
          </cell>
          <cell r="EA35">
            <v>37</v>
          </cell>
          <cell r="EB35">
            <v>4</v>
          </cell>
          <cell r="EC35">
            <v>33</v>
          </cell>
          <cell r="ED35">
            <v>202</v>
          </cell>
          <cell r="EE35">
            <v>296</v>
          </cell>
          <cell r="EF35">
            <v>88</v>
          </cell>
          <cell r="EG35">
            <v>148</v>
          </cell>
          <cell r="EH35">
            <v>52</v>
          </cell>
          <cell r="EI35">
            <v>12</v>
          </cell>
          <cell r="EJ35">
            <v>229</v>
          </cell>
          <cell r="EK35">
            <v>128</v>
          </cell>
          <cell r="EL35">
            <v>122</v>
          </cell>
          <cell r="EM35">
            <v>32</v>
          </cell>
          <cell r="EN35">
            <v>13</v>
          </cell>
        </row>
        <row r="36">
          <cell r="A36" t="str">
            <v>37266</v>
          </cell>
          <cell r="B36" t="str">
            <v>Veigné</v>
          </cell>
          <cell r="C36" t="str">
            <v>CC du Val de l'Indre</v>
          </cell>
          <cell r="D36">
            <v>2178.8653380000001</v>
          </cell>
          <cell r="E36">
            <v>398.75303300000002</v>
          </cell>
          <cell r="F36">
            <v>134.88682800000001</v>
          </cell>
          <cell r="G36">
            <v>263.86620499999998</v>
          </cell>
          <cell r="H36">
            <v>19.691507999999999</v>
          </cell>
          <cell r="I36">
            <v>1760.420797</v>
          </cell>
          <cell r="J36">
            <v>795.53691500000002</v>
          </cell>
          <cell r="K36">
            <v>846.73483499999998</v>
          </cell>
          <cell r="L36">
            <v>118.149047</v>
          </cell>
          <cell r="M36">
            <v>1908</v>
          </cell>
          <cell r="N36">
            <v>293</v>
          </cell>
          <cell r="O36">
            <v>120</v>
          </cell>
          <cell r="P36">
            <v>173</v>
          </cell>
          <cell r="Q36">
            <v>6</v>
          </cell>
          <cell r="R36">
            <v>1609</v>
          </cell>
          <cell r="S36">
            <v>679</v>
          </cell>
          <cell r="T36">
            <v>843</v>
          </cell>
          <cell r="U36">
            <v>87</v>
          </cell>
          <cell r="V36">
            <v>5683.9537259999997</v>
          </cell>
          <cell r="W36">
            <v>398.75303300000002</v>
          </cell>
          <cell r="X36">
            <v>134.88682800000001</v>
          </cell>
          <cell r="Y36">
            <v>263.86620499999998</v>
          </cell>
          <cell r="Z36">
            <v>63.012824999999999</v>
          </cell>
          <cell r="AA36">
            <v>5222.187868</v>
          </cell>
          <cell r="AB36">
            <v>1618.6419410000001</v>
          </cell>
          <cell r="AC36">
            <v>3260.9136920000001</v>
          </cell>
          <cell r="AD36">
            <v>342.63223599999998</v>
          </cell>
          <cell r="AE36">
            <v>5163</v>
          </cell>
          <cell r="AF36">
            <v>293</v>
          </cell>
          <cell r="AG36">
            <v>120</v>
          </cell>
          <cell r="AH36">
            <v>173</v>
          </cell>
          <cell r="AI36">
            <v>12</v>
          </cell>
          <cell r="AJ36">
            <v>4858</v>
          </cell>
          <cell r="AK36">
            <v>1398</v>
          </cell>
          <cell r="AL36">
            <v>3232</v>
          </cell>
          <cell r="AM36">
            <v>228</v>
          </cell>
          <cell r="AN36">
            <v>2177.8807630000001</v>
          </cell>
          <cell r="AO36">
            <v>5681</v>
          </cell>
          <cell r="AP36">
            <v>1972</v>
          </cell>
          <cell r="AQ36">
            <v>5368</v>
          </cell>
          <cell r="AR36">
            <v>1555</v>
          </cell>
          <cell r="AS36">
            <v>4452</v>
          </cell>
          <cell r="AT36">
            <v>1346</v>
          </cell>
          <cell r="AU36">
            <v>4170</v>
          </cell>
          <cell r="AV36">
            <v>1111</v>
          </cell>
          <cell r="AW36">
            <v>3572</v>
          </cell>
          <cell r="AX36">
            <v>745</v>
          </cell>
          <cell r="AY36">
            <v>2310</v>
          </cell>
          <cell r="AZ36">
            <v>4716.6549009999999</v>
          </cell>
          <cell r="BA36">
            <v>409.95669199999998</v>
          </cell>
          <cell r="BB36">
            <v>261.54985599999998</v>
          </cell>
          <cell r="BC36">
            <v>926.44621600000005</v>
          </cell>
          <cell r="BD36">
            <v>1360.7200459999999</v>
          </cell>
          <cell r="BE36">
            <v>761.10762599999998</v>
          </cell>
          <cell r="BF36">
            <v>746.19556499999999</v>
          </cell>
          <cell r="BG36">
            <v>250.678901</v>
          </cell>
          <cell r="BH36">
            <v>392.84558099999998</v>
          </cell>
          <cell r="BI36">
            <v>224.48318900000001</v>
          </cell>
          <cell r="BJ36">
            <v>882.17954899999995</v>
          </cell>
          <cell r="BK36">
            <v>1337.0533800000001</v>
          </cell>
          <cell r="BL36">
            <v>759.10762599999998</v>
          </cell>
          <cell r="BM36">
            <v>740.40069300000005</v>
          </cell>
          <cell r="BN36">
            <v>203.807106</v>
          </cell>
          <cell r="BO36">
            <v>3.9383020000000002</v>
          </cell>
          <cell r="BP36">
            <v>9.8457539999999995</v>
          </cell>
          <cell r="BQ36">
            <v>54.151646</v>
          </cell>
          <cell r="BR36">
            <v>72.858579000000006</v>
          </cell>
          <cell r="BS36">
            <v>74.827730000000003</v>
          </cell>
          <cell r="BT36">
            <v>119.133622</v>
          </cell>
          <cell r="BU36">
            <v>66.951127</v>
          </cell>
          <cell r="BV36">
            <v>2.8956870000000001</v>
          </cell>
          <cell r="BW36">
            <v>35.490988000000002</v>
          </cell>
          <cell r="BX36">
            <v>744.93140800000003</v>
          </cell>
          <cell r="BY36">
            <v>1194.8256309999999</v>
          </cell>
          <cell r="BZ36">
            <v>656.74263399999995</v>
          </cell>
          <cell r="CA36">
            <v>605.57556299999999</v>
          </cell>
          <cell r="CB36">
            <v>122.102773</v>
          </cell>
          <cell r="CC36">
            <v>320</v>
          </cell>
          <cell r="CD36">
            <v>234</v>
          </cell>
          <cell r="CE36">
            <v>1074</v>
          </cell>
          <cell r="CF36">
            <v>1240</v>
          </cell>
          <cell r="CG36">
            <v>636</v>
          </cell>
          <cell r="CH36">
            <v>587</v>
          </cell>
          <cell r="CI36">
            <v>125</v>
          </cell>
          <cell r="CJ36">
            <v>4</v>
          </cell>
          <cell r="CK36">
            <v>7</v>
          </cell>
          <cell r="CL36">
            <v>44</v>
          </cell>
          <cell r="CM36">
            <v>57</v>
          </cell>
          <cell r="CN36">
            <v>38</v>
          </cell>
          <cell r="CO36">
            <v>90</v>
          </cell>
          <cell r="CP36">
            <v>48</v>
          </cell>
          <cell r="CQ36">
            <v>2850.5091470000002</v>
          </cell>
          <cell r="CR36">
            <v>1400.808916</v>
          </cell>
          <cell r="CS36">
            <v>219.56031200000001</v>
          </cell>
          <cell r="CT36">
            <v>245.77652599999999</v>
          </cell>
          <cell r="CU36">
            <v>11.814905</v>
          </cell>
          <cell r="CV36">
            <v>174.26984400000001</v>
          </cell>
          <cell r="CW36">
            <v>291.43431500000003</v>
          </cell>
          <cell r="CX36">
            <v>370.20034700000002</v>
          </cell>
          <cell r="CY36">
            <v>153.593761</v>
          </cell>
          <cell r="CZ36">
            <v>307.187522</v>
          </cell>
          <cell r="DA36">
            <v>823.10502599999995</v>
          </cell>
          <cell r="DB36">
            <v>47.259619000000001</v>
          </cell>
          <cell r="DC36">
            <v>35.444713999999998</v>
          </cell>
          <cell r="DD36">
            <v>619.29791999999998</v>
          </cell>
          <cell r="DE36">
            <v>976.69878700000004</v>
          </cell>
          <cell r="DF36">
            <v>1071.218024</v>
          </cell>
          <cell r="DG36">
            <v>397.76845800000001</v>
          </cell>
          <cell r="DH36">
            <v>949.13067599999999</v>
          </cell>
          <cell r="DI36">
            <v>1516.246101</v>
          </cell>
          <cell r="DJ36">
            <v>118.149047</v>
          </cell>
          <cell r="DK36">
            <v>8</v>
          </cell>
          <cell r="DL36">
            <v>137</v>
          </cell>
          <cell r="DM36">
            <v>199</v>
          </cell>
          <cell r="DN36">
            <v>305</v>
          </cell>
          <cell r="DO36">
            <v>163</v>
          </cell>
          <cell r="DP36">
            <v>427</v>
          </cell>
          <cell r="DQ36">
            <v>619</v>
          </cell>
          <cell r="DR36">
            <v>50</v>
          </cell>
          <cell r="DS36">
            <v>1772.2357019999999</v>
          </cell>
          <cell r="DT36">
            <v>846.73483499999998</v>
          </cell>
          <cell r="DU36">
            <v>122.08734800000001</v>
          </cell>
          <cell r="DV36">
            <v>27.568110999999998</v>
          </cell>
          <cell r="DW36">
            <v>94.519237000000004</v>
          </cell>
          <cell r="DX36">
            <v>803.41351799999995</v>
          </cell>
          <cell r="DY36">
            <v>1625</v>
          </cell>
          <cell r="DZ36">
            <v>847</v>
          </cell>
          <cell r="EA36">
            <v>94</v>
          </cell>
          <cell r="EB36">
            <v>20</v>
          </cell>
          <cell r="EC36">
            <v>74</v>
          </cell>
          <cell r="ED36">
            <v>684</v>
          </cell>
          <cell r="EE36">
            <v>870.364645</v>
          </cell>
          <cell r="EF36">
            <v>307.187522</v>
          </cell>
          <cell r="EG36">
            <v>433.21317199999999</v>
          </cell>
          <cell r="EH36">
            <v>141.77885599999999</v>
          </cell>
          <cell r="EI36">
            <v>19.691507999999999</v>
          </cell>
          <cell r="EJ36">
            <v>758</v>
          </cell>
          <cell r="EK36">
            <v>373</v>
          </cell>
          <cell r="EL36">
            <v>345</v>
          </cell>
          <cell r="EM36">
            <v>128</v>
          </cell>
          <cell r="EN36">
            <v>21</v>
          </cell>
        </row>
        <row r="37">
          <cell r="A37" t="str">
            <v>37267</v>
          </cell>
          <cell r="B37" t="str">
            <v>Véretz</v>
          </cell>
          <cell r="C37" t="str">
            <v>CC de l'Est Tourangeau</v>
          </cell>
          <cell r="D37">
            <v>1366.2904109999999</v>
          </cell>
          <cell r="E37">
            <v>207.013699</v>
          </cell>
          <cell r="F37">
            <v>105.388792</v>
          </cell>
          <cell r="G37">
            <v>101.62490699999999</v>
          </cell>
          <cell r="H37">
            <v>33.874969</v>
          </cell>
          <cell r="I37">
            <v>1125.4017429999999</v>
          </cell>
          <cell r="J37">
            <v>414.02739700000001</v>
          </cell>
          <cell r="K37">
            <v>643.62440800000002</v>
          </cell>
          <cell r="L37">
            <v>67.749938</v>
          </cell>
          <cell r="M37">
            <v>1028</v>
          </cell>
          <cell r="N37">
            <v>144</v>
          </cell>
          <cell r="O37">
            <v>60</v>
          </cell>
          <cell r="P37">
            <v>84</v>
          </cell>
          <cell r="Q37">
            <v>8</v>
          </cell>
          <cell r="R37">
            <v>876</v>
          </cell>
          <cell r="S37">
            <v>300</v>
          </cell>
          <cell r="T37">
            <v>524</v>
          </cell>
          <cell r="U37">
            <v>52</v>
          </cell>
          <cell r="V37">
            <v>3782.7048570000002</v>
          </cell>
          <cell r="W37">
            <v>207.013699</v>
          </cell>
          <cell r="X37">
            <v>105.388792</v>
          </cell>
          <cell r="Y37">
            <v>101.62490699999999</v>
          </cell>
          <cell r="Z37">
            <v>67.749938</v>
          </cell>
          <cell r="AA37">
            <v>3507.9412200000002</v>
          </cell>
          <cell r="AB37">
            <v>835.58256500000005</v>
          </cell>
          <cell r="AC37">
            <v>2476.6366130000001</v>
          </cell>
          <cell r="AD37">
            <v>195.72204199999999</v>
          </cell>
          <cell r="AE37">
            <v>2980</v>
          </cell>
          <cell r="AF37">
            <v>144</v>
          </cell>
          <cell r="AG37">
            <v>60</v>
          </cell>
          <cell r="AH37">
            <v>84</v>
          </cell>
          <cell r="AI37">
            <v>16</v>
          </cell>
          <cell r="AJ37">
            <v>2820</v>
          </cell>
          <cell r="AK37">
            <v>616</v>
          </cell>
          <cell r="AL37">
            <v>2076</v>
          </cell>
          <cell r="AM37">
            <v>128</v>
          </cell>
          <cell r="AN37">
            <v>1366.2904109999999</v>
          </cell>
          <cell r="AO37">
            <v>3778</v>
          </cell>
          <cell r="AP37">
            <v>1028</v>
          </cell>
          <cell r="AQ37">
            <v>2950</v>
          </cell>
          <cell r="AR37">
            <v>828</v>
          </cell>
          <cell r="AS37">
            <v>2655</v>
          </cell>
          <cell r="AT37">
            <v>697</v>
          </cell>
          <cell r="AU37">
            <v>2248</v>
          </cell>
          <cell r="AV37">
            <v>386</v>
          </cell>
          <cell r="AW37">
            <v>1173</v>
          </cell>
          <cell r="AX37">
            <v>314</v>
          </cell>
          <cell r="AY37">
            <v>991</v>
          </cell>
          <cell r="AZ37">
            <v>2845.3515980000002</v>
          </cell>
          <cell r="BA37">
            <v>204.308842</v>
          </cell>
          <cell r="BB37">
            <v>110.21170600000001</v>
          </cell>
          <cell r="BC37">
            <v>918.38804500000003</v>
          </cell>
          <cell r="BD37">
            <v>781.94719799999996</v>
          </cell>
          <cell r="BE37">
            <v>464.83985100000001</v>
          </cell>
          <cell r="BF37">
            <v>259.03609999999998</v>
          </cell>
          <cell r="BG37">
            <v>106.619856</v>
          </cell>
          <cell r="BH37">
            <v>202.308842</v>
          </cell>
          <cell r="BI37">
            <v>108.21170600000001</v>
          </cell>
          <cell r="BJ37">
            <v>918.38804500000003</v>
          </cell>
          <cell r="BK37">
            <v>781.94719799999996</v>
          </cell>
          <cell r="BL37">
            <v>464.83985100000001</v>
          </cell>
          <cell r="BM37">
            <v>251.239352</v>
          </cell>
          <cell r="BN37">
            <v>67.749938</v>
          </cell>
          <cell r="BO37">
            <v>0</v>
          </cell>
          <cell r="BP37">
            <v>3.7638850000000001</v>
          </cell>
          <cell r="BQ37">
            <v>24.465254999999999</v>
          </cell>
          <cell r="BR37">
            <v>37.638854000000002</v>
          </cell>
          <cell r="BS37">
            <v>65.867994999999993</v>
          </cell>
          <cell r="BT37">
            <v>50.812452999999998</v>
          </cell>
          <cell r="BU37">
            <v>25.406227000000001</v>
          </cell>
          <cell r="BV37">
            <v>0.940971</v>
          </cell>
          <cell r="BW37">
            <v>27.288169</v>
          </cell>
          <cell r="BX37">
            <v>830.87770899999998</v>
          </cell>
          <cell r="BY37">
            <v>696.318804</v>
          </cell>
          <cell r="BZ37">
            <v>393.32602700000001</v>
          </cell>
          <cell r="CA37">
            <v>194.95392100000001</v>
          </cell>
          <cell r="CB37">
            <v>40.212195999999999</v>
          </cell>
          <cell r="CC37">
            <v>230</v>
          </cell>
          <cell r="CD37">
            <v>157</v>
          </cell>
          <cell r="CE37">
            <v>647</v>
          </cell>
          <cell r="CF37">
            <v>757</v>
          </cell>
          <cell r="CG37">
            <v>274</v>
          </cell>
          <cell r="CH37">
            <v>184</v>
          </cell>
          <cell r="CI37">
            <v>53</v>
          </cell>
          <cell r="CJ37">
            <v>1</v>
          </cell>
          <cell r="CK37">
            <v>4</v>
          </cell>
          <cell r="CL37">
            <v>19</v>
          </cell>
          <cell r="CM37">
            <v>34</v>
          </cell>
          <cell r="CN37">
            <v>25</v>
          </cell>
          <cell r="CO37">
            <v>36</v>
          </cell>
          <cell r="CP37">
            <v>26</v>
          </cell>
          <cell r="CQ37">
            <v>1777.591021</v>
          </cell>
          <cell r="CR37">
            <v>757.12278500000002</v>
          </cell>
          <cell r="CS37">
            <v>154.26369600000001</v>
          </cell>
          <cell r="CT37">
            <v>156.37409500000001</v>
          </cell>
          <cell r="CU37">
            <v>0</v>
          </cell>
          <cell r="CV37">
            <v>94.097136000000006</v>
          </cell>
          <cell r="CW37">
            <v>229.59701100000001</v>
          </cell>
          <cell r="CX37">
            <v>308.63860499999998</v>
          </cell>
          <cell r="CY37">
            <v>109.152677</v>
          </cell>
          <cell r="CZ37">
            <v>270.999751</v>
          </cell>
          <cell r="DA37">
            <v>331.22191800000002</v>
          </cell>
          <cell r="DB37">
            <v>22.583313</v>
          </cell>
          <cell r="DC37">
            <v>0</v>
          </cell>
          <cell r="DD37">
            <v>297.346949</v>
          </cell>
          <cell r="DE37">
            <v>711.37434599999995</v>
          </cell>
          <cell r="DF37">
            <v>933.44358699999998</v>
          </cell>
          <cell r="DG37">
            <v>316.16637600000001</v>
          </cell>
          <cell r="DH37">
            <v>865.69364900000005</v>
          </cell>
          <cell r="DI37">
            <v>587.16612699999996</v>
          </cell>
          <cell r="DJ37">
            <v>71.513823000000002</v>
          </cell>
          <cell r="DK37">
            <v>4</v>
          </cell>
          <cell r="DL37">
            <v>92</v>
          </cell>
          <cell r="DM37">
            <v>120</v>
          </cell>
          <cell r="DN37">
            <v>208</v>
          </cell>
          <cell r="DO37">
            <v>100</v>
          </cell>
          <cell r="DP37">
            <v>236</v>
          </cell>
          <cell r="DQ37">
            <v>244</v>
          </cell>
          <cell r="DR37">
            <v>24</v>
          </cell>
          <cell r="DS37">
            <v>1125.4017429999999</v>
          </cell>
          <cell r="DT37">
            <v>643.62440800000002</v>
          </cell>
          <cell r="DU37">
            <v>67.749938</v>
          </cell>
          <cell r="DV37">
            <v>22.583313</v>
          </cell>
          <cell r="DW37">
            <v>45.166625000000003</v>
          </cell>
          <cell r="DX37">
            <v>414.02739700000001</v>
          </cell>
          <cell r="DY37">
            <v>880</v>
          </cell>
          <cell r="DZ37">
            <v>524</v>
          </cell>
          <cell r="EA37">
            <v>56</v>
          </cell>
          <cell r="EB37">
            <v>8</v>
          </cell>
          <cell r="EC37">
            <v>48</v>
          </cell>
          <cell r="ED37">
            <v>300</v>
          </cell>
          <cell r="EE37">
            <v>425.31905399999999</v>
          </cell>
          <cell r="EF37">
            <v>263.47197999999997</v>
          </cell>
          <cell r="EG37">
            <v>338.74968899999999</v>
          </cell>
          <cell r="EH37">
            <v>75.277709000000002</v>
          </cell>
          <cell r="EI37">
            <v>22.583313</v>
          </cell>
          <cell r="EJ37">
            <v>340</v>
          </cell>
          <cell r="EK37">
            <v>204</v>
          </cell>
          <cell r="EL37">
            <v>224</v>
          </cell>
          <cell r="EM37">
            <v>84</v>
          </cell>
          <cell r="EN37">
            <v>28</v>
          </cell>
        </row>
        <row r="38">
          <cell r="A38" t="str">
            <v>37270</v>
          </cell>
          <cell r="B38" t="str">
            <v>Vernou-sur-Brenne</v>
          </cell>
          <cell r="C38" t="str">
            <v>Vouvrillon</v>
          </cell>
          <cell r="D38">
            <v>1056</v>
          </cell>
          <cell r="E38">
            <v>256</v>
          </cell>
          <cell r="F38">
            <v>112</v>
          </cell>
          <cell r="G38">
            <v>144</v>
          </cell>
          <cell r="H38">
            <v>12</v>
          </cell>
          <cell r="I38">
            <v>788</v>
          </cell>
          <cell r="J38">
            <v>364</v>
          </cell>
          <cell r="K38">
            <v>364</v>
          </cell>
          <cell r="L38">
            <v>60</v>
          </cell>
          <cell r="M38">
            <v>928</v>
          </cell>
          <cell r="N38">
            <v>192</v>
          </cell>
          <cell r="O38">
            <v>72</v>
          </cell>
          <cell r="P38">
            <v>120</v>
          </cell>
          <cell r="Q38">
            <v>16</v>
          </cell>
          <cell r="R38">
            <v>720</v>
          </cell>
          <cell r="S38">
            <v>340</v>
          </cell>
          <cell r="T38">
            <v>332</v>
          </cell>
          <cell r="U38">
            <v>48</v>
          </cell>
          <cell r="V38">
            <v>2592</v>
          </cell>
          <cell r="W38">
            <v>256</v>
          </cell>
          <cell r="X38">
            <v>112</v>
          </cell>
          <cell r="Y38">
            <v>144</v>
          </cell>
          <cell r="Z38">
            <v>28</v>
          </cell>
          <cell r="AA38">
            <v>2308</v>
          </cell>
          <cell r="AB38">
            <v>728</v>
          </cell>
          <cell r="AC38">
            <v>1416</v>
          </cell>
          <cell r="AD38">
            <v>164</v>
          </cell>
          <cell r="AE38">
            <v>2352</v>
          </cell>
          <cell r="AF38">
            <v>192</v>
          </cell>
          <cell r="AG38">
            <v>72</v>
          </cell>
          <cell r="AH38">
            <v>120</v>
          </cell>
          <cell r="AI38">
            <v>32</v>
          </cell>
          <cell r="AJ38">
            <v>2128</v>
          </cell>
          <cell r="AK38">
            <v>704</v>
          </cell>
          <cell r="AL38">
            <v>1288</v>
          </cell>
          <cell r="AM38">
            <v>136</v>
          </cell>
          <cell r="AN38">
            <v>1057</v>
          </cell>
          <cell r="AO38">
            <v>2580</v>
          </cell>
          <cell r="AP38">
            <v>927</v>
          </cell>
          <cell r="AQ38">
            <v>2307</v>
          </cell>
          <cell r="AR38">
            <v>795</v>
          </cell>
          <cell r="AS38">
            <v>2058</v>
          </cell>
          <cell r="AT38">
            <v>719</v>
          </cell>
          <cell r="AU38">
            <v>1973</v>
          </cell>
          <cell r="AV38">
            <v>653</v>
          </cell>
          <cell r="AW38">
            <v>1952</v>
          </cell>
          <cell r="AX38">
            <v>612</v>
          </cell>
          <cell r="AY38">
            <v>1928</v>
          </cell>
          <cell r="AZ38">
            <v>2174</v>
          </cell>
          <cell r="BA38">
            <v>121</v>
          </cell>
          <cell r="BB38">
            <v>119</v>
          </cell>
          <cell r="BC38">
            <v>509</v>
          </cell>
          <cell r="BD38">
            <v>559</v>
          </cell>
          <cell r="BE38">
            <v>311</v>
          </cell>
          <cell r="BF38">
            <v>310</v>
          </cell>
          <cell r="BG38">
            <v>245</v>
          </cell>
          <cell r="BH38">
            <v>121</v>
          </cell>
          <cell r="BI38">
            <v>118</v>
          </cell>
          <cell r="BJ38">
            <v>508</v>
          </cell>
          <cell r="BK38">
            <v>554</v>
          </cell>
          <cell r="BL38">
            <v>307</v>
          </cell>
          <cell r="BM38">
            <v>285</v>
          </cell>
          <cell r="BN38">
            <v>150</v>
          </cell>
          <cell r="BO38">
            <v>1</v>
          </cell>
          <cell r="BP38">
            <v>10</v>
          </cell>
          <cell r="BQ38">
            <v>42</v>
          </cell>
          <cell r="BR38">
            <v>49</v>
          </cell>
          <cell r="BS38">
            <v>33</v>
          </cell>
          <cell r="BT38">
            <v>55</v>
          </cell>
          <cell r="BU38">
            <v>66</v>
          </cell>
          <cell r="BV38">
            <v>4</v>
          </cell>
          <cell r="BW38">
            <v>42</v>
          </cell>
          <cell r="BX38">
            <v>415</v>
          </cell>
          <cell r="BY38">
            <v>456</v>
          </cell>
          <cell r="BZ38">
            <v>262</v>
          </cell>
          <cell r="CA38">
            <v>228</v>
          </cell>
          <cell r="CB38">
            <v>74</v>
          </cell>
          <cell r="CC38">
            <v>143</v>
          </cell>
          <cell r="CD38">
            <v>120</v>
          </cell>
          <cell r="CE38">
            <v>482</v>
          </cell>
          <cell r="CF38">
            <v>487</v>
          </cell>
          <cell r="CG38">
            <v>222</v>
          </cell>
          <cell r="CH38">
            <v>341</v>
          </cell>
          <cell r="CI38">
            <v>84</v>
          </cell>
          <cell r="CJ38">
            <v>2</v>
          </cell>
          <cell r="CK38">
            <v>4</v>
          </cell>
          <cell r="CL38">
            <v>30</v>
          </cell>
          <cell r="CM38">
            <v>39</v>
          </cell>
          <cell r="CN38">
            <v>21</v>
          </cell>
          <cell r="CO38">
            <v>69</v>
          </cell>
          <cell r="CP38">
            <v>38</v>
          </cell>
          <cell r="CQ38">
            <v>1202</v>
          </cell>
          <cell r="CR38">
            <v>606</v>
          </cell>
          <cell r="CS38">
            <v>236</v>
          </cell>
          <cell r="CT38">
            <v>130</v>
          </cell>
          <cell r="CU38">
            <v>52</v>
          </cell>
          <cell r="CV38">
            <v>68</v>
          </cell>
          <cell r="CW38">
            <v>108</v>
          </cell>
          <cell r="CX38">
            <v>148</v>
          </cell>
          <cell r="CY38">
            <v>88</v>
          </cell>
          <cell r="CZ38">
            <v>176</v>
          </cell>
          <cell r="DA38">
            <v>384</v>
          </cell>
          <cell r="DB38">
            <v>32</v>
          </cell>
          <cell r="DC38">
            <v>128</v>
          </cell>
          <cell r="DD38">
            <v>208</v>
          </cell>
          <cell r="DE38">
            <v>360</v>
          </cell>
          <cell r="DF38">
            <v>468</v>
          </cell>
          <cell r="DG38">
            <v>208</v>
          </cell>
          <cell r="DH38">
            <v>472</v>
          </cell>
          <cell r="DI38">
            <v>648</v>
          </cell>
          <cell r="DJ38">
            <v>100</v>
          </cell>
          <cell r="DK38">
            <v>48</v>
          </cell>
          <cell r="DL38">
            <v>64</v>
          </cell>
          <cell r="DM38">
            <v>52</v>
          </cell>
          <cell r="DN38">
            <v>104</v>
          </cell>
          <cell r="DO38">
            <v>72</v>
          </cell>
          <cell r="DP38">
            <v>200</v>
          </cell>
          <cell r="DQ38">
            <v>344</v>
          </cell>
          <cell r="DR38">
            <v>44</v>
          </cell>
          <cell r="DS38">
            <v>788</v>
          </cell>
          <cell r="DT38">
            <v>364</v>
          </cell>
          <cell r="DU38">
            <v>60</v>
          </cell>
          <cell r="DV38">
            <v>12</v>
          </cell>
          <cell r="DW38">
            <v>48</v>
          </cell>
          <cell r="DX38">
            <v>364</v>
          </cell>
          <cell r="DY38">
            <v>728</v>
          </cell>
          <cell r="DZ38">
            <v>332</v>
          </cell>
          <cell r="EA38">
            <v>52</v>
          </cell>
          <cell r="EB38">
            <v>12</v>
          </cell>
          <cell r="EC38">
            <v>40</v>
          </cell>
          <cell r="ED38">
            <v>344</v>
          </cell>
          <cell r="EE38">
            <v>392</v>
          </cell>
          <cell r="EF38">
            <v>148</v>
          </cell>
          <cell r="EG38">
            <v>188</v>
          </cell>
          <cell r="EH38">
            <v>48</v>
          </cell>
          <cell r="EI38">
            <v>12</v>
          </cell>
          <cell r="EJ38">
            <v>392</v>
          </cell>
          <cell r="EK38">
            <v>128</v>
          </cell>
          <cell r="EL38">
            <v>156</v>
          </cell>
          <cell r="EM38">
            <v>36</v>
          </cell>
          <cell r="EN38">
            <v>16</v>
          </cell>
        </row>
        <row r="39">
          <cell r="A39" t="str">
            <v>37272</v>
          </cell>
          <cell r="B39" t="str">
            <v>Villandry</v>
          </cell>
          <cell r="C39" t="str">
            <v>Tour(s)plus</v>
          </cell>
          <cell r="D39">
            <v>390.67231900000002</v>
          </cell>
          <cell r="E39">
            <v>65.797443000000001</v>
          </cell>
          <cell r="F39">
            <v>37.011062000000003</v>
          </cell>
          <cell r="G39">
            <v>28.786380999999999</v>
          </cell>
          <cell r="H39">
            <v>0</v>
          </cell>
          <cell r="I39">
            <v>324.87487499999997</v>
          </cell>
          <cell r="J39">
            <v>106.920845</v>
          </cell>
          <cell r="K39">
            <v>193.279989</v>
          </cell>
          <cell r="L39">
            <v>24.674040999999999</v>
          </cell>
          <cell r="M39">
            <v>340</v>
          </cell>
          <cell r="N39">
            <v>56</v>
          </cell>
          <cell r="O39">
            <v>40</v>
          </cell>
          <cell r="P39">
            <v>16</v>
          </cell>
          <cell r="Q39">
            <v>0</v>
          </cell>
          <cell r="R39">
            <v>284</v>
          </cell>
          <cell r="S39">
            <v>112</v>
          </cell>
          <cell r="T39">
            <v>148</v>
          </cell>
          <cell r="U39">
            <v>24</v>
          </cell>
          <cell r="V39">
            <v>1060.98377</v>
          </cell>
          <cell r="W39">
            <v>65.797443000000001</v>
          </cell>
          <cell r="X39">
            <v>37.011062000000003</v>
          </cell>
          <cell r="Y39">
            <v>28.786380999999999</v>
          </cell>
          <cell r="Z39">
            <v>0</v>
          </cell>
          <cell r="AA39">
            <v>995.18632700000001</v>
          </cell>
          <cell r="AB39">
            <v>213.84169</v>
          </cell>
          <cell r="AC39">
            <v>727.88421500000004</v>
          </cell>
          <cell r="AD39">
            <v>53.460422999999999</v>
          </cell>
          <cell r="AE39">
            <v>892</v>
          </cell>
          <cell r="AF39">
            <v>56</v>
          </cell>
          <cell r="AG39">
            <v>40</v>
          </cell>
          <cell r="AH39">
            <v>16</v>
          </cell>
          <cell r="AI39">
            <v>0</v>
          </cell>
          <cell r="AJ39">
            <v>836</v>
          </cell>
          <cell r="AK39">
            <v>232</v>
          </cell>
          <cell r="AL39">
            <v>552</v>
          </cell>
          <cell r="AM39">
            <v>52</v>
          </cell>
          <cell r="AN39">
            <v>391.61614800000001</v>
          </cell>
          <cell r="AO39">
            <v>1077.348876</v>
          </cell>
          <cell r="AP39">
            <v>342</v>
          </cell>
          <cell r="AQ39">
            <v>920</v>
          </cell>
          <cell r="AR39">
            <v>273</v>
          </cell>
          <cell r="AS39">
            <v>771</v>
          </cell>
          <cell r="AT39">
            <v>248</v>
          </cell>
          <cell r="AU39">
            <v>735</v>
          </cell>
          <cell r="AV39">
            <v>216</v>
          </cell>
          <cell r="AW39">
            <v>673</v>
          </cell>
          <cell r="AX39">
            <v>212</v>
          </cell>
          <cell r="AY39">
            <v>607</v>
          </cell>
          <cell r="AZ39">
            <v>838.90633800000001</v>
          </cell>
          <cell r="BA39">
            <v>52.432336999999997</v>
          </cell>
          <cell r="BB39">
            <v>38.039147</v>
          </cell>
          <cell r="BC39">
            <v>273.44253800000001</v>
          </cell>
          <cell r="BD39">
            <v>233.26296600000001</v>
          </cell>
          <cell r="BE39">
            <v>96.499568999999994</v>
          </cell>
          <cell r="BF39">
            <v>111.49956899999999</v>
          </cell>
          <cell r="BG39">
            <v>33.730210999999997</v>
          </cell>
          <cell r="BH39">
            <v>52.432336999999997</v>
          </cell>
          <cell r="BI39">
            <v>38.039147</v>
          </cell>
          <cell r="BJ39">
            <v>272.44253800000001</v>
          </cell>
          <cell r="BK39">
            <v>229.26296600000001</v>
          </cell>
          <cell r="BL39">
            <v>91.499568999999994</v>
          </cell>
          <cell r="BM39">
            <v>94.499568999999994</v>
          </cell>
          <cell r="BN39">
            <v>26.730211000000001</v>
          </cell>
          <cell r="BO39">
            <v>0</v>
          </cell>
          <cell r="BP39">
            <v>2.0561699999999998</v>
          </cell>
          <cell r="BQ39">
            <v>6.1685100000000004</v>
          </cell>
          <cell r="BR39">
            <v>18.505531000000001</v>
          </cell>
          <cell r="BS39">
            <v>6.1685100000000004</v>
          </cell>
          <cell r="BT39">
            <v>20.477446</v>
          </cell>
          <cell r="BU39">
            <v>8.2246799999999993</v>
          </cell>
          <cell r="BV39">
            <v>1.0280849999999999</v>
          </cell>
          <cell r="BW39">
            <v>13.365106000000001</v>
          </cell>
          <cell r="BX39">
            <v>250.82466700000001</v>
          </cell>
          <cell r="BY39">
            <v>200.42041399999999</v>
          </cell>
          <cell r="BZ39">
            <v>81.162548999999999</v>
          </cell>
          <cell r="CA39">
            <v>74.853612999999996</v>
          </cell>
          <cell r="CB39">
            <v>21.421275999999999</v>
          </cell>
          <cell r="CC39">
            <v>40</v>
          </cell>
          <cell r="CD39">
            <v>32</v>
          </cell>
          <cell r="CE39">
            <v>249</v>
          </cell>
          <cell r="CF39">
            <v>188</v>
          </cell>
          <cell r="CG39">
            <v>72</v>
          </cell>
          <cell r="CH39">
            <v>96</v>
          </cell>
          <cell r="CI39">
            <v>36</v>
          </cell>
          <cell r="CJ39">
            <v>0</v>
          </cell>
          <cell r="CK39">
            <v>2</v>
          </cell>
          <cell r="CL39">
            <v>9</v>
          </cell>
          <cell r="CM39">
            <v>12</v>
          </cell>
          <cell r="CN39">
            <v>4</v>
          </cell>
          <cell r="CO39">
            <v>17</v>
          </cell>
          <cell r="CP39">
            <v>13</v>
          </cell>
          <cell r="CQ39">
            <v>500.53699399999999</v>
          </cell>
          <cell r="CR39">
            <v>247.234881</v>
          </cell>
          <cell r="CS39">
            <v>46.982976999999998</v>
          </cell>
          <cell r="CT39">
            <v>44.151487000000003</v>
          </cell>
          <cell r="CU39">
            <v>12.337021</v>
          </cell>
          <cell r="CV39">
            <v>37.011062000000003</v>
          </cell>
          <cell r="CW39">
            <v>16.449361</v>
          </cell>
          <cell r="CX39">
            <v>82.246803999999997</v>
          </cell>
          <cell r="CY39">
            <v>32.898721999999999</v>
          </cell>
          <cell r="CZ39">
            <v>90.471484000000004</v>
          </cell>
          <cell r="DA39">
            <v>102.808505</v>
          </cell>
          <cell r="DB39">
            <v>16.449361</v>
          </cell>
          <cell r="DC39">
            <v>37.011062000000003</v>
          </cell>
          <cell r="DD39">
            <v>102.808505</v>
          </cell>
          <cell r="DE39">
            <v>49.348081999999998</v>
          </cell>
          <cell r="DF39">
            <v>234.403391</v>
          </cell>
          <cell r="DG39">
            <v>106.920845</v>
          </cell>
          <cell r="DH39">
            <v>316.650195</v>
          </cell>
          <cell r="DI39">
            <v>185.05530899999999</v>
          </cell>
          <cell r="DJ39">
            <v>28.786380999999999</v>
          </cell>
          <cell r="DK39">
            <v>12</v>
          </cell>
          <cell r="DL39">
            <v>40</v>
          </cell>
          <cell r="DM39">
            <v>20</v>
          </cell>
          <cell r="DN39">
            <v>48</v>
          </cell>
          <cell r="DO39">
            <v>32</v>
          </cell>
          <cell r="DP39">
            <v>68</v>
          </cell>
          <cell r="DQ39">
            <v>112</v>
          </cell>
          <cell r="DR39">
            <v>8</v>
          </cell>
          <cell r="DS39">
            <v>328.98721599999999</v>
          </cell>
          <cell r="DT39">
            <v>193.279989</v>
          </cell>
          <cell r="DU39">
            <v>24.674040999999999</v>
          </cell>
          <cell r="DV39">
            <v>0</v>
          </cell>
          <cell r="DW39">
            <v>24.674040999999999</v>
          </cell>
          <cell r="DX39">
            <v>111.033185</v>
          </cell>
          <cell r="DY39">
            <v>284</v>
          </cell>
          <cell r="DZ39">
            <v>148</v>
          </cell>
          <cell r="EA39">
            <v>24</v>
          </cell>
          <cell r="EB39">
            <v>0</v>
          </cell>
          <cell r="EC39">
            <v>24</v>
          </cell>
          <cell r="ED39">
            <v>112</v>
          </cell>
          <cell r="EE39">
            <v>139.81956700000001</v>
          </cell>
          <cell r="EF39">
            <v>78.134463999999994</v>
          </cell>
          <cell r="EG39">
            <v>86.359144000000001</v>
          </cell>
          <cell r="EH39">
            <v>24.674040999999999</v>
          </cell>
          <cell r="EI39">
            <v>0</v>
          </cell>
          <cell r="EJ39">
            <v>140</v>
          </cell>
          <cell r="EK39">
            <v>68</v>
          </cell>
          <cell r="EL39">
            <v>56</v>
          </cell>
          <cell r="EM39">
            <v>20</v>
          </cell>
          <cell r="EN39">
            <v>0</v>
          </cell>
        </row>
        <row r="40">
          <cell r="A40" t="str">
            <v>37273</v>
          </cell>
          <cell r="B40" t="str">
            <v>La Ville-aux-Dames</v>
          </cell>
          <cell r="C40" t="str">
            <v>CC de l'Est Tourangeau</v>
          </cell>
          <cell r="D40">
            <v>1772</v>
          </cell>
          <cell r="E40">
            <v>332</v>
          </cell>
          <cell r="F40">
            <v>104</v>
          </cell>
          <cell r="G40">
            <v>228</v>
          </cell>
          <cell r="H40">
            <v>16</v>
          </cell>
          <cell r="I40">
            <v>1424</v>
          </cell>
          <cell r="J40">
            <v>708</v>
          </cell>
          <cell r="K40">
            <v>636</v>
          </cell>
          <cell r="L40">
            <v>80</v>
          </cell>
          <cell r="M40">
            <v>1640</v>
          </cell>
          <cell r="N40">
            <v>224</v>
          </cell>
          <cell r="O40">
            <v>84</v>
          </cell>
          <cell r="P40">
            <v>140</v>
          </cell>
          <cell r="Q40">
            <v>12</v>
          </cell>
          <cell r="R40">
            <v>1404</v>
          </cell>
          <cell r="S40">
            <v>560</v>
          </cell>
          <cell r="T40">
            <v>740</v>
          </cell>
          <cell r="U40">
            <v>104</v>
          </cell>
          <cell r="V40">
            <v>4468</v>
          </cell>
          <cell r="W40">
            <v>332</v>
          </cell>
          <cell r="X40">
            <v>104</v>
          </cell>
          <cell r="Y40">
            <v>228</v>
          </cell>
          <cell r="Z40">
            <v>36</v>
          </cell>
          <cell r="AA40">
            <v>4100</v>
          </cell>
          <cell r="AB40">
            <v>1456</v>
          </cell>
          <cell r="AC40">
            <v>2428</v>
          </cell>
          <cell r="AD40">
            <v>216</v>
          </cell>
          <cell r="AE40">
            <v>4536</v>
          </cell>
          <cell r="AF40">
            <v>224</v>
          </cell>
          <cell r="AG40">
            <v>84</v>
          </cell>
          <cell r="AH40">
            <v>140</v>
          </cell>
          <cell r="AI40">
            <v>28</v>
          </cell>
          <cell r="AJ40">
            <v>4284</v>
          </cell>
          <cell r="AK40">
            <v>1140</v>
          </cell>
          <cell r="AL40">
            <v>2872</v>
          </cell>
          <cell r="AM40">
            <v>272</v>
          </cell>
          <cell r="AN40">
            <v>1775</v>
          </cell>
          <cell r="AO40">
            <v>4469</v>
          </cell>
          <cell r="AP40">
            <v>1638</v>
          </cell>
          <cell r="AQ40">
            <v>4548</v>
          </cell>
          <cell r="AR40">
            <v>1359</v>
          </cell>
          <cell r="AS40">
            <v>4151</v>
          </cell>
          <cell r="AT40">
            <v>1077</v>
          </cell>
          <cell r="AU40">
            <v>3405</v>
          </cell>
          <cell r="AV40">
            <v>722</v>
          </cell>
          <cell r="AW40">
            <v>2392</v>
          </cell>
          <cell r="AX40">
            <v>504</v>
          </cell>
          <cell r="AY40">
            <v>1793</v>
          </cell>
          <cell r="AZ40">
            <v>3742</v>
          </cell>
          <cell r="BA40">
            <v>348</v>
          </cell>
          <cell r="BB40">
            <v>214</v>
          </cell>
          <cell r="BC40">
            <v>728</v>
          </cell>
          <cell r="BD40">
            <v>1035</v>
          </cell>
          <cell r="BE40">
            <v>730</v>
          </cell>
          <cell r="BF40">
            <v>529</v>
          </cell>
          <cell r="BG40">
            <v>158</v>
          </cell>
          <cell r="BH40">
            <v>338</v>
          </cell>
          <cell r="BI40">
            <v>207</v>
          </cell>
          <cell r="BJ40">
            <v>720</v>
          </cell>
          <cell r="BK40">
            <v>1027</v>
          </cell>
          <cell r="BL40">
            <v>728</v>
          </cell>
          <cell r="BM40">
            <v>529</v>
          </cell>
          <cell r="BN40">
            <v>158</v>
          </cell>
          <cell r="BO40">
            <v>1</v>
          </cell>
          <cell r="BP40">
            <v>7</v>
          </cell>
          <cell r="BQ40">
            <v>39</v>
          </cell>
          <cell r="BR40">
            <v>65</v>
          </cell>
          <cell r="BS40">
            <v>64</v>
          </cell>
          <cell r="BT40">
            <v>92</v>
          </cell>
          <cell r="BU40">
            <v>68</v>
          </cell>
          <cell r="BV40">
            <v>13</v>
          </cell>
          <cell r="BW40">
            <v>53</v>
          </cell>
          <cell r="BX40">
            <v>575</v>
          </cell>
          <cell r="BY40">
            <v>866</v>
          </cell>
          <cell r="BZ40">
            <v>640</v>
          </cell>
          <cell r="CA40">
            <v>420</v>
          </cell>
          <cell r="CB40">
            <v>78</v>
          </cell>
          <cell r="CC40">
            <v>327</v>
          </cell>
          <cell r="CD40">
            <v>234</v>
          </cell>
          <cell r="CE40">
            <v>898</v>
          </cell>
          <cell r="CF40">
            <v>1166</v>
          </cell>
          <cell r="CG40">
            <v>510</v>
          </cell>
          <cell r="CH40">
            <v>439</v>
          </cell>
          <cell r="CI40">
            <v>73</v>
          </cell>
          <cell r="CJ40">
            <v>1</v>
          </cell>
          <cell r="CK40">
            <v>5</v>
          </cell>
          <cell r="CL40">
            <v>52</v>
          </cell>
          <cell r="CM40">
            <v>40</v>
          </cell>
          <cell r="CN40">
            <v>22</v>
          </cell>
          <cell r="CO40">
            <v>75</v>
          </cell>
          <cell r="CP40">
            <v>25</v>
          </cell>
          <cell r="CQ40">
            <v>2242</v>
          </cell>
          <cell r="CR40">
            <v>1052</v>
          </cell>
          <cell r="CS40">
            <v>240</v>
          </cell>
          <cell r="CT40">
            <v>208</v>
          </cell>
          <cell r="CU40">
            <v>4</v>
          </cell>
          <cell r="CV40">
            <v>84</v>
          </cell>
          <cell r="CW40">
            <v>124</v>
          </cell>
          <cell r="CX40">
            <v>248</v>
          </cell>
          <cell r="CY40">
            <v>168</v>
          </cell>
          <cell r="CZ40">
            <v>336</v>
          </cell>
          <cell r="DA40">
            <v>736</v>
          </cell>
          <cell r="DB40">
            <v>72</v>
          </cell>
          <cell r="DC40">
            <v>16</v>
          </cell>
          <cell r="DD40">
            <v>268</v>
          </cell>
          <cell r="DE40">
            <v>404</v>
          </cell>
          <cell r="DF40">
            <v>756</v>
          </cell>
          <cell r="DG40">
            <v>416</v>
          </cell>
          <cell r="DH40">
            <v>1072</v>
          </cell>
          <cell r="DI40">
            <v>1368</v>
          </cell>
          <cell r="DJ40">
            <v>168</v>
          </cell>
          <cell r="DK40">
            <v>20</v>
          </cell>
          <cell r="DL40">
            <v>64</v>
          </cell>
          <cell r="DM40">
            <v>108</v>
          </cell>
          <cell r="DN40">
            <v>292</v>
          </cell>
          <cell r="DO40">
            <v>180</v>
          </cell>
          <cell r="DP40">
            <v>428</v>
          </cell>
          <cell r="DQ40">
            <v>496</v>
          </cell>
          <cell r="DR40">
            <v>52</v>
          </cell>
          <cell r="DS40">
            <v>1432</v>
          </cell>
          <cell r="DT40">
            <v>636</v>
          </cell>
          <cell r="DU40">
            <v>84</v>
          </cell>
          <cell r="DV40">
            <v>16</v>
          </cell>
          <cell r="DW40">
            <v>68</v>
          </cell>
          <cell r="DX40">
            <v>712</v>
          </cell>
          <cell r="DY40">
            <v>1404</v>
          </cell>
          <cell r="DZ40">
            <v>740</v>
          </cell>
          <cell r="EA40">
            <v>104</v>
          </cell>
          <cell r="EB40">
            <v>20</v>
          </cell>
          <cell r="EC40">
            <v>84</v>
          </cell>
          <cell r="ED40">
            <v>560</v>
          </cell>
          <cell r="EE40">
            <v>772</v>
          </cell>
          <cell r="EF40">
            <v>280</v>
          </cell>
          <cell r="EG40">
            <v>268</v>
          </cell>
          <cell r="EH40">
            <v>88</v>
          </cell>
          <cell r="EI40">
            <v>24</v>
          </cell>
          <cell r="EJ40">
            <v>668</v>
          </cell>
          <cell r="EK40">
            <v>272</v>
          </cell>
          <cell r="EL40">
            <v>316</v>
          </cell>
          <cell r="EM40">
            <v>108</v>
          </cell>
          <cell r="EN40">
            <v>40</v>
          </cell>
        </row>
        <row r="41">
          <cell r="A41" t="str">
            <v>37281</v>
          </cell>
          <cell r="B41" t="str">
            <v>Vouvray</v>
          </cell>
          <cell r="C41" t="str">
            <v>Vouvrillon</v>
          </cell>
          <cell r="D41">
            <v>1240</v>
          </cell>
          <cell r="E41">
            <v>332</v>
          </cell>
          <cell r="F41">
            <v>140</v>
          </cell>
          <cell r="G41">
            <v>192</v>
          </cell>
          <cell r="H41">
            <v>28</v>
          </cell>
          <cell r="I41">
            <v>880</v>
          </cell>
          <cell r="J41">
            <v>360</v>
          </cell>
          <cell r="K41">
            <v>420</v>
          </cell>
          <cell r="L41">
            <v>100</v>
          </cell>
          <cell r="M41">
            <v>1172</v>
          </cell>
          <cell r="N41">
            <v>264</v>
          </cell>
          <cell r="O41">
            <v>108</v>
          </cell>
          <cell r="P41">
            <v>156</v>
          </cell>
          <cell r="Q41">
            <v>24</v>
          </cell>
          <cell r="R41">
            <v>884</v>
          </cell>
          <cell r="S41">
            <v>348</v>
          </cell>
          <cell r="T41">
            <v>452</v>
          </cell>
          <cell r="U41">
            <v>84</v>
          </cell>
          <cell r="V41">
            <v>3004</v>
          </cell>
          <cell r="W41">
            <v>332</v>
          </cell>
          <cell r="X41">
            <v>140</v>
          </cell>
          <cell r="Y41">
            <v>192</v>
          </cell>
          <cell r="Z41">
            <v>68</v>
          </cell>
          <cell r="AA41">
            <v>2604</v>
          </cell>
          <cell r="AB41">
            <v>728</v>
          </cell>
          <cell r="AC41">
            <v>1612</v>
          </cell>
          <cell r="AD41">
            <v>264</v>
          </cell>
          <cell r="AE41">
            <v>3024</v>
          </cell>
          <cell r="AF41">
            <v>264</v>
          </cell>
          <cell r="AG41">
            <v>108</v>
          </cell>
          <cell r="AH41">
            <v>156</v>
          </cell>
          <cell r="AI41">
            <v>48</v>
          </cell>
          <cell r="AJ41">
            <v>2712</v>
          </cell>
          <cell r="AK41">
            <v>700</v>
          </cell>
          <cell r="AL41">
            <v>1780</v>
          </cell>
          <cell r="AM41">
            <v>232</v>
          </cell>
          <cell r="AN41">
            <v>1240</v>
          </cell>
          <cell r="AO41">
            <v>3021</v>
          </cell>
          <cell r="AP41">
            <v>1170</v>
          </cell>
          <cell r="AQ41">
            <v>3001</v>
          </cell>
          <cell r="AR41">
            <v>1070</v>
          </cell>
          <cell r="AS41">
            <v>2818</v>
          </cell>
          <cell r="AT41">
            <v>912</v>
          </cell>
          <cell r="AU41">
            <v>2449</v>
          </cell>
          <cell r="AV41">
            <v>894</v>
          </cell>
          <cell r="AW41">
            <v>2546</v>
          </cell>
          <cell r="AX41">
            <v>865</v>
          </cell>
          <cell r="AY41">
            <v>2648</v>
          </cell>
          <cell r="AZ41">
            <v>2512</v>
          </cell>
          <cell r="BA41">
            <v>229</v>
          </cell>
          <cell r="BB41">
            <v>147</v>
          </cell>
          <cell r="BC41">
            <v>552</v>
          </cell>
          <cell r="BD41">
            <v>737</v>
          </cell>
          <cell r="BE41">
            <v>342</v>
          </cell>
          <cell r="BF41">
            <v>353</v>
          </cell>
          <cell r="BG41">
            <v>152</v>
          </cell>
          <cell r="BH41">
            <v>225</v>
          </cell>
          <cell r="BI41">
            <v>145</v>
          </cell>
          <cell r="BJ41">
            <v>528</v>
          </cell>
          <cell r="BK41">
            <v>715</v>
          </cell>
          <cell r="BL41">
            <v>338</v>
          </cell>
          <cell r="BM41">
            <v>353</v>
          </cell>
          <cell r="BN41">
            <v>152</v>
          </cell>
          <cell r="BO41">
            <v>1</v>
          </cell>
          <cell r="BP41">
            <v>10</v>
          </cell>
          <cell r="BQ41">
            <v>48</v>
          </cell>
          <cell r="BR41">
            <v>60</v>
          </cell>
          <cell r="BS41">
            <v>40</v>
          </cell>
          <cell r="BT41">
            <v>108</v>
          </cell>
          <cell r="BU41">
            <v>64</v>
          </cell>
          <cell r="BV41">
            <v>2</v>
          </cell>
          <cell r="BW41">
            <v>46</v>
          </cell>
          <cell r="BX41">
            <v>406</v>
          </cell>
          <cell r="BY41">
            <v>582</v>
          </cell>
          <cell r="BZ41">
            <v>271</v>
          </cell>
          <cell r="CA41">
            <v>236</v>
          </cell>
          <cell r="CB41">
            <v>76</v>
          </cell>
          <cell r="CC41">
            <v>208</v>
          </cell>
          <cell r="CD41">
            <v>140</v>
          </cell>
          <cell r="CE41">
            <v>577</v>
          </cell>
          <cell r="CF41">
            <v>701</v>
          </cell>
          <cell r="CG41">
            <v>260</v>
          </cell>
          <cell r="CH41">
            <v>427</v>
          </cell>
          <cell r="CI41">
            <v>93</v>
          </cell>
          <cell r="CJ41">
            <v>2</v>
          </cell>
          <cell r="CK41">
            <v>11</v>
          </cell>
          <cell r="CL41">
            <v>44</v>
          </cell>
          <cell r="CM41">
            <v>41</v>
          </cell>
          <cell r="CN41">
            <v>38</v>
          </cell>
          <cell r="CO41">
            <v>88</v>
          </cell>
          <cell r="CP41">
            <v>41</v>
          </cell>
          <cell r="CQ41">
            <v>1349</v>
          </cell>
          <cell r="CR41">
            <v>840</v>
          </cell>
          <cell r="CS41">
            <v>169</v>
          </cell>
          <cell r="CT41">
            <v>154</v>
          </cell>
          <cell r="CU41">
            <v>44</v>
          </cell>
          <cell r="CV41">
            <v>76</v>
          </cell>
          <cell r="CW41">
            <v>148</v>
          </cell>
          <cell r="CX41">
            <v>200</v>
          </cell>
          <cell r="CY41">
            <v>124</v>
          </cell>
          <cell r="CZ41">
            <v>224</v>
          </cell>
          <cell r="DA41">
            <v>392</v>
          </cell>
          <cell r="DB41">
            <v>32</v>
          </cell>
          <cell r="DC41">
            <v>120</v>
          </cell>
          <cell r="DD41">
            <v>228</v>
          </cell>
          <cell r="DE41">
            <v>484</v>
          </cell>
          <cell r="DF41">
            <v>564</v>
          </cell>
          <cell r="DG41">
            <v>276</v>
          </cell>
          <cell r="DH41">
            <v>568</v>
          </cell>
          <cell r="DI41">
            <v>704</v>
          </cell>
          <cell r="DJ41">
            <v>60</v>
          </cell>
          <cell r="DK41">
            <v>64</v>
          </cell>
          <cell r="DL41">
            <v>68</v>
          </cell>
          <cell r="DM41">
            <v>136</v>
          </cell>
          <cell r="DN41">
            <v>148</v>
          </cell>
          <cell r="DO41">
            <v>84</v>
          </cell>
          <cell r="DP41">
            <v>236</v>
          </cell>
          <cell r="DQ41">
            <v>392</v>
          </cell>
          <cell r="DR41">
            <v>44</v>
          </cell>
          <cell r="DS41">
            <v>880</v>
          </cell>
          <cell r="DT41">
            <v>420</v>
          </cell>
          <cell r="DU41">
            <v>100</v>
          </cell>
          <cell r="DV41">
            <v>12</v>
          </cell>
          <cell r="DW41">
            <v>88</v>
          </cell>
          <cell r="DX41">
            <v>360</v>
          </cell>
          <cell r="DY41">
            <v>896</v>
          </cell>
          <cell r="DZ41">
            <v>456</v>
          </cell>
          <cell r="EA41">
            <v>88</v>
          </cell>
          <cell r="EB41">
            <v>28</v>
          </cell>
          <cell r="EC41">
            <v>60</v>
          </cell>
          <cell r="ED41">
            <v>352</v>
          </cell>
          <cell r="EE41">
            <v>408</v>
          </cell>
          <cell r="EF41">
            <v>200</v>
          </cell>
          <cell r="EG41">
            <v>188</v>
          </cell>
          <cell r="EH41">
            <v>76</v>
          </cell>
          <cell r="EI41">
            <v>8</v>
          </cell>
          <cell r="EJ41">
            <v>412</v>
          </cell>
          <cell r="EK41">
            <v>188</v>
          </cell>
          <cell r="EL41">
            <v>200</v>
          </cell>
          <cell r="EM41">
            <v>84</v>
          </cell>
          <cell r="EN41">
            <v>12</v>
          </cell>
        </row>
      </sheetData>
      <sheetData sheetId="5">
        <row r="1">
          <cell r="A1" t="str">
            <v>Code géographique</v>
          </cell>
          <cell r="B1" t="str">
            <v>Libellé géographique</v>
          </cell>
          <cell r="C1" t="str">
            <v>EPCI administratives 2010</v>
          </cell>
          <cell r="D1" t="str">
            <v>Logements en 2006 (princ)</v>
          </cell>
          <cell r="E1" t="str">
            <v>Résidences principales en 2006 (princ)</v>
          </cell>
          <cell r="F1" t="str">
            <v>Rés secondaires et logts occasionnels en 2006 (princ)</v>
          </cell>
          <cell r="G1" t="str">
            <v>Logements vacants en 2006 (princ)</v>
          </cell>
          <cell r="H1" t="str">
            <v>Logements en 1999 (princ)</v>
          </cell>
          <cell r="I1" t="str">
            <v>Résidences principales en 1999 (princ)</v>
          </cell>
          <cell r="J1" t="str">
            <v>Rés secondaires et logts occasionnels en 1999 (princ)</v>
          </cell>
          <cell r="K1" t="str">
            <v>Logements vacants en 1999 (princ)</v>
          </cell>
          <cell r="L1" t="str">
            <v>Logements en 1990 (dnbt)</v>
          </cell>
          <cell r="M1" t="str">
            <v>Résidences principales en 1990 (dnbt)</v>
          </cell>
          <cell r="N1" t="str">
            <v>Rés secondaires et logts occasionnels en 1990 (dnbt)</v>
          </cell>
          <cell r="O1" t="str">
            <v>Logements vacants en 1990 (dnbt)</v>
          </cell>
          <cell r="P1" t="str">
            <v>Logements en 1982 (dnbt)</v>
          </cell>
          <cell r="Q1" t="str">
            <v>Résidences principales en 1982 (dnbt)</v>
          </cell>
          <cell r="R1" t="str">
            <v>Rés secondaires et logts occasionnels en 1982 (dnbt)</v>
          </cell>
          <cell r="S1" t="str">
            <v>Logements vacants en 1982 (dnbt)</v>
          </cell>
          <cell r="T1" t="str">
            <v>Logements en 1975 (dnbt)</v>
          </cell>
          <cell r="U1" t="str">
            <v>Résidences principales en 1975 (dnbt)</v>
          </cell>
          <cell r="V1" t="str">
            <v>Rés secondaires et logts occasionnels en 1975 (dnbt)</v>
          </cell>
          <cell r="W1" t="str">
            <v>Logements vacants en 1975 (dnbt)</v>
          </cell>
          <cell r="X1" t="str">
            <v>Logements en 1968 (dnbt)</v>
          </cell>
          <cell r="Y1" t="str">
            <v>Résidences principales en 1968 (dnbt)</v>
          </cell>
          <cell r="Z1" t="str">
            <v>Rés secondaires et logts occasionnels en 1968 (dnbt)</v>
          </cell>
          <cell r="AA1" t="str">
            <v>Logements vacants en 1968 (dnbt)</v>
          </cell>
          <cell r="AB1" t="str">
            <v>Maisons en 2006 (princ)</v>
          </cell>
          <cell r="AC1" t="str">
            <v>Appartements en 2006 (princ)</v>
          </cell>
          <cell r="AD1" t="str">
            <v>Maisons en 1999 (princ)</v>
          </cell>
          <cell r="AE1" t="str">
            <v>Appartements en 1999 (princ)</v>
          </cell>
          <cell r="AF1" t="str">
            <v>Rés princ 1 pièce en 2006 (princ)</v>
          </cell>
          <cell r="AG1" t="str">
            <v>Rés princ 2 pièces en 2006 (princ)</v>
          </cell>
          <cell r="AH1" t="str">
            <v>Rés princ 3 pièces en 2006 (princ)</v>
          </cell>
          <cell r="AI1" t="str">
            <v>Rés princ 4 pièces en 2006 (princ)</v>
          </cell>
          <cell r="AJ1" t="str">
            <v>Rés princ 5 pièces ou plus en 2006 (princ)</v>
          </cell>
          <cell r="AK1" t="str">
            <v>Rés princ 1 pièce en 1999 (princ)</v>
          </cell>
          <cell r="AL1" t="str">
            <v>Rés princ 2 pièces en 1999 (princ)</v>
          </cell>
          <cell r="AM1" t="str">
            <v>Rés princ 3 pièces en 1999 (princ)</v>
          </cell>
          <cell r="AN1" t="str">
            <v>Rés princ 4 pièces en 1999 (princ)</v>
          </cell>
          <cell r="AO1" t="str">
            <v>Rés princ 5 pièces ou plus en 1999 (princ)</v>
          </cell>
          <cell r="AP1" t="str">
            <v>Pièces rés princ en 2006 (princ)</v>
          </cell>
          <cell r="AQ1" t="str">
            <v>Rés princ type maison en 2006 (princ)</v>
          </cell>
          <cell r="AR1" t="str">
            <v>Pièces rés princ type maison en 2006 (princ)</v>
          </cell>
          <cell r="AS1" t="str">
            <v>Rés princ type appartement en 2006 (princ)</v>
          </cell>
          <cell r="AT1" t="str">
            <v>Pièces rés princ type appartement en 2006 (princ)</v>
          </cell>
          <cell r="AU1" t="str">
            <v>Pièces rés princ en 1999 (princ)</v>
          </cell>
          <cell r="AV1" t="str">
            <v>Rés princ type maison en 1999 (princ)</v>
          </cell>
          <cell r="AW1" t="str">
            <v>Pièces rés princ type maison en 1999 (princ)</v>
          </cell>
          <cell r="AX1" t="str">
            <v>Rés princ type appartement en 1999 (princ)</v>
          </cell>
          <cell r="AY1" t="str">
            <v>Pièces rés princ type appartement en 1999 (princ)</v>
          </cell>
          <cell r="AZ1" t="str">
            <v>Rés princ avt 2004 en 2006 (princ)</v>
          </cell>
          <cell r="BA1" t="str">
            <v>Rés princ avt 1949 en 2006 (princ)</v>
          </cell>
          <cell r="BB1" t="str">
            <v>Rés princ 1949 à 1974 en 2006 (princ)</v>
          </cell>
          <cell r="BC1" t="str">
            <v>Rés princ 1975 à 1989 en 2006 (princ)</v>
          </cell>
          <cell r="BD1" t="str">
            <v>Rés princ 1990 à 2003 en 2006 (princ)</v>
          </cell>
          <cell r="BE1" t="str">
            <v>Rés princ Type maison avt 1949 en 2006 (princ)</v>
          </cell>
          <cell r="BF1" t="str">
            <v>Rés princ Type maison 1949 à 1974 en 2006 (princ)</v>
          </cell>
          <cell r="BG1" t="str">
            <v>Rés princ Type maison 1975 à 1989 en 2006 (princ)</v>
          </cell>
          <cell r="BH1" t="str">
            <v>Rés princ Type maison 1990 à 2003 en 2006 (princ)</v>
          </cell>
          <cell r="BI1" t="str">
            <v>Rés princ Type appart avt 1949 en 2006 (princ)</v>
          </cell>
          <cell r="BJ1" t="str">
            <v>Rés princ Type appart 1949 à 1974 en 2006 (princ)</v>
          </cell>
          <cell r="BK1" t="str">
            <v>Rés princ Type appart 1975 à 1989 en 2006 (princ)</v>
          </cell>
          <cell r="BL1" t="str">
            <v>Rés princ Type appart 1990 à 2003 en 2006 (princ)</v>
          </cell>
          <cell r="BM1" t="str">
            <v>Ménages en 2006 (princ)</v>
          </cell>
          <cell r="BN1" t="str">
            <v>Ménages emménagés moins 2 ans en 2006 (princ)</v>
          </cell>
          <cell r="BO1" t="str">
            <v>Ménages emménagés entre 2-4 ans en 2006 (princ)</v>
          </cell>
          <cell r="BP1" t="str">
            <v>Ménages emménagés moins entre 5-9 ans en 2006 (princ)</v>
          </cell>
          <cell r="BQ1" t="str">
            <v>Ménages emménagés depuis 10 ans ou plus en 2006 (princ)</v>
          </cell>
          <cell r="BR1" t="str">
            <v>Ménages emménagés entre 10-19 ans en 2006 (princ)</v>
          </cell>
          <cell r="BS1" t="str">
            <v>Ménages emménagés entre 20-29 ans en 2006 (princ)</v>
          </cell>
          <cell r="BT1" t="str">
            <v>Ménages emménagés depuis 30 ans ou plus en 2006 (princ)</v>
          </cell>
          <cell r="BU1" t="str">
            <v>Pop ménages en 2006 (princ)</v>
          </cell>
          <cell r="BV1" t="str">
            <v>Pop mén emménagés moins 2 ans en 2006 (princ)</v>
          </cell>
          <cell r="BW1" t="str">
            <v>Pop mén emménagés entre 2-4 ans en 2006 (princ)</v>
          </cell>
          <cell r="BX1" t="str">
            <v>Pop mén emménagés entre 5-9 ans en 2006 (princ)</v>
          </cell>
          <cell r="BY1" t="str">
            <v>Pop mén emménagés depuis 10 ans ou plus en 2006 (princ)</v>
          </cell>
          <cell r="BZ1" t="str">
            <v>Pièces Rés princ Mén. emménagés moins 2 ans en 2006 (princ)</v>
          </cell>
          <cell r="CA1" t="str">
            <v>Pièces Rés princ Mén. Emménagés entre 2-4 ans en 2006 (princ)</v>
          </cell>
          <cell r="CB1" t="str">
            <v>Pièces Rés princ Mén. emménagés entre 5-9 ans en 2006 (princ)</v>
          </cell>
          <cell r="CC1" t="str">
            <v>Pièces Rés princ Mén. emménagés depuis 10 ans ou plus en 2006 (princ)</v>
          </cell>
          <cell r="CD1" t="str">
            <v>Rés princ occupées Propriétaires en 2006 (princ)</v>
          </cell>
          <cell r="CE1" t="str">
            <v>Rés princ occupées Locataires en 2006 (princ)</v>
          </cell>
          <cell r="CF1" t="str">
            <v>Rés princ HLM louée vide en 2006 (princ)</v>
          </cell>
          <cell r="CG1" t="str">
            <v>Rés princ logé gratuit en 2006 (princ)</v>
          </cell>
          <cell r="CH1" t="str">
            <v>Rés princ occupées Propriétaires en 1999 (princ)</v>
          </cell>
          <cell r="CI1" t="str">
            <v>Rés princ occupées Locataires en 1999 (princ)</v>
          </cell>
          <cell r="CJ1" t="str">
            <v>Rés princ HLM louées vides en 1999 (princ)</v>
          </cell>
          <cell r="CK1" t="str">
            <v>Rés princ occupées gratuit en 1999 (princ)</v>
          </cell>
          <cell r="CL1" t="str">
            <v>Personnes Rés princ en 2006 (princ)</v>
          </cell>
          <cell r="CM1" t="str">
            <v>Pers Rés princ occupées Propriétaires en 2006 (princ)</v>
          </cell>
          <cell r="CN1" t="str">
            <v>Pers Rés princ occupées Locataires en 2006 (princ)</v>
          </cell>
          <cell r="CO1" t="str">
            <v>Pers Rés princ HLM louées vides en 2006 (princ)</v>
          </cell>
          <cell r="CP1" t="str">
            <v>Pers Rés princ occupées gratuit en 2006 (princ)</v>
          </cell>
          <cell r="CQ1" t="str">
            <v>Anc tot Emméngt Rés princ en 2006 (princ)</v>
          </cell>
          <cell r="CR1" t="str">
            <v>Anc tot Emméngt Rés princ occ par Propriétaires en 2006 (princ)</v>
          </cell>
          <cell r="CS1" t="str">
            <v>Anc tot Emméngt Rés princ occ par Locataires en 2006 (princ)</v>
          </cell>
          <cell r="CT1" t="str">
            <v>Anc tot Emméngt Rés princ HLM louées vides en 2006 (princ)</v>
          </cell>
          <cell r="CU1" t="str">
            <v>Anc tot Emméngt Rés princ occ gratuit en 2006 (princ)</v>
          </cell>
          <cell r="CV1" t="str">
            <v>Rés princ SDB baignoire douche en 2006 (princ)</v>
          </cell>
          <cell r="CW1" t="str">
            <v>Rés princ Chauffage Central Collectif  en 2006 (princ)</v>
          </cell>
          <cell r="CX1" t="str">
            <v>Rés princ Chauffage Central Individuel en 2006 (princ)</v>
          </cell>
          <cell r="CY1" t="str">
            <v>Rés princ Chauffage Individuel Electrique en 2006 (princ)</v>
          </cell>
          <cell r="CZ1" t="str">
            <v>Rés princ SDB baignoire douche en 1999 (princ)</v>
          </cell>
          <cell r="DA1" t="str">
            <v>Rés princ Chauffage Central Collectif en 1999 (princ)</v>
          </cell>
          <cell r="DB1" t="str">
            <v>Rés princ Chauffage Central Individuel en 1999 (princ)</v>
          </cell>
          <cell r="DC1" t="str">
            <v>Rés princ Chauffage Individuel Electrique en 1999 (princ)</v>
          </cell>
          <cell r="DD1" t="str">
            <v>Ménages au moins un parking en 2006 (princ)</v>
          </cell>
          <cell r="DE1" t="str">
            <v>Ménages au moins une voiture en 2006 (princ)</v>
          </cell>
          <cell r="DF1" t="str">
            <v>Ménages une voiture en 2006 (princ)</v>
          </cell>
          <cell r="DG1" t="str">
            <v>Ménages deux voitures ou plus en 2006 (princ)</v>
          </cell>
          <cell r="DH1" t="str">
            <v>Ménages en 1999 (princ)</v>
          </cell>
          <cell r="DI1" t="str">
            <v>Ménages au moins un parking en 1999 (princ)</v>
          </cell>
          <cell r="DJ1" t="str">
            <v>Ménages au moins une voiture en 1999 (princ)</v>
          </cell>
          <cell r="DK1" t="str">
            <v>Ménages une voiture en 1999 (princ)</v>
          </cell>
          <cell r="DL1" t="str">
            <v>Ménages deux voitures ou plus en 1999 (princ)</v>
          </cell>
        </row>
        <row r="2">
          <cell r="A2" t="str">
            <v>37006</v>
          </cell>
          <cell r="B2" t="str">
            <v>Artannes-sur-Indre</v>
          </cell>
          <cell r="C2" t="str">
            <v>CC du Val de l'Indre</v>
          </cell>
          <cell r="D2">
            <v>1066.0926460000001</v>
          </cell>
          <cell r="E2">
            <v>977</v>
          </cell>
          <cell r="F2">
            <v>51.633237999999999</v>
          </cell>
          <cell r="G2">
            <v>37.459408000000003</v>
          </cell>
          <cell r="H2">
            <v>891</v>
          </cell>
          <cell r="I2">
            <v>802</v>
          </cell>
          <cell r="J2">
            <v>44</v>
          </cell>
          <cell r="K2">
            <v>45</v>
          </cell>
          <cell r="L2">
            <v>786</v>
          </cell>
          <cell r="M2">
            <v>684</v>
          </cell>
          <cell r="N2">
            <v>76</v>
          </cell>
          <cell r="O2">
            <v>26</v>
          </cell>
          <cell r="P2">
            <v>613</v>
          </cell>
          <cell r="Q2">
            <v>499</v>
          </cell>
          <cell r="R2">
            <v>80</v>
          </cell>
          <cell r="S2">
            <v>34</v>
          </cell>
          <cell r="T2">
            <v>491</v>
          </cell>
          <cell r="U2">
            <v>418</v>
          </cell>
          <cell r="V2">
            <v>52</v>
          </cell>
          <cell r="W2">
            <v>21</v>
          </cell>
          <cell r="X2">
            <v>478</v>
          </cell>
          <cell r="Y2">
            <v>393</v>
          </cell>
          <cell r="Z2">
            <v>57</v>
          </cell>
          <cell r="AA2">
            <v>28</v>
          </cell>
          <cell r="AB2">
            <v>1014.978284</v>
          </cell>
          <cell r="AC2">
            <v>25.431972999999999</v>
          </cell>
          <cell r="AD2">
            <v>878</v>
          </cell>
          <cell r="AE2">
            <v>1</v>
          </cell>
          <cell r="AF2">
            <v>26.74465</v>
          </cell>
          <cell r="AG2">
            <v>48.325713999999998</v>
          </cell>
          <cell r="AH2">
            <v>171.381981</v>
          </cell>
          <cell r="AI2">
            <v>275.177932</v>
          </cell>
          <cell r="AJ2">
            <v>455.36972300000002</v>
          </cell>
          <cell r="AK2">
            <v>10</v>
          </cell>
          <cell r="AL2">
            <v>49</v>
          </cell>
          <cell r="AM2">
            <v>149</v>
          </cell>
          <cell r="AN2">
            <v>259</v>
          </cell>
          <cell r="AO2">
            <v>335</v>
          </cell>
          <cell r="AP2">
            <v>4390.2379780000001</v>
          </cell>
          <cell r="AQ2">
            <v>931.96013600000003</v>
          </cell>
          <cell r="AR2">
            <v>4273.0874219999996</v>
          </cell>
          <cell r="AS2">
            <v>23.407139999999998</v>
          </cell>
          <cell r="AT2">
            <v>76.013735999999994</v>
          </cell>
          <cell r="AU2">
            <v>3485</v>
          </cell>
          <cell r="AV2">
            <v>792</v>
          </cell>
          <cell r="AW2">
            <v>3456</v>
          </cell>
          <cell r="AX2">
            <v>1</v>
          </cell>
          <cell r="AY2">
            <v>5</v>
          </cell>
          <cell r="AZ2">
            <v>957.84994600000005</v>
          </cell>
          <cell r="BA2">
            <v>332.39779600000003</v>
          </cell>
          <cell r="BB2">
            <v>107.94986400000001</v>
          </cell>
          <cell r="BC2">
            <v>282.76005099999998</v>
          </cell>
          <cell r="BD2">
            <v>234.74223499999999</v>
          </cell>
          <cell r="BE2">
            <v>318.194591</v>
          </cell>
          <cell r="BF2">
            <v>105.910179</v>
          </cell>
          <cell r="BG2">
            <v>281.72749199999998</v>
          </cell>
          <cell r="BH2">
            <v>207.99758499999999</v>
          </cell>
          <cell r="BI2">
            <v>13.170646</v>
          </cell>
          <cell r="BJ2">
            <v>1.0325599999999999</v>
          </cell>
          <cell r="BK2">
            <v>0</v>
          </cell>
          <cell r="BL2">
            <v>8.1841709999999992</v>
          </cell>
          <cell r="BM2">
            <v>977</v>
          </cell>
          <cell r="BN2">
            <v>105.53353</v>
          </cell>
          <cell r="BO2">
            <v>167.66825900000001</v>
          </cell>
          <cell r="BP2">
            <v>176.295852</v>
          </cell>
          <cell r="BQ2">
            <v>527.50235899999996</v>
          </cell>
          <cell r="BR2">
            <v>179.420311</v>
          </cell>
          <cell r="BS2">
            <v>197.507665</v>
          </cell>
          <cell r="BT2">
            <v>150.57438300000001</v>
          </cell>
          <cell r="BU2">
            <v>2509</v>
          </cell>
          <cell r="BV2">
            <v>251.93631199999999</v>
          </cell>
          <cell r="BW2">
            <v>462.40692799999999</v>
          </cell>
          <cell r="BX2">
            <v>523.05293500000005</v>
          </cell>
          <cell r="BY2">
            <v>1271.6038249999999</v>
          </cell>
          <cell r="BZ2">
            <v>409.08871699999997</v>
          </cell>
          <cell r="CA2">
            <v>707.37531200000001</v>
          </cell>
          <cell r="CB2">
            <v>775.86980700000004</v>
          </cell>
          <cell r="CC2">
            <v>2497.9041430000002</v>
          </cell>
          <cell r="CD2">
            <v>797.10355000000004</v>
          </cell>
          <cell r="CE2">
            <v>171.72523200000001</v>
          </cell>
          <cell r="CF2">
            <v>53.698461000000002</v>
          </cell>
          <cell r="CG2">
            <v>8.1712179999999996</v>
          </cell>
          <cell r="CH2">
            <v>657</v>
          </cell>
          <cell r="CI2">
            <v>126</v>
          </cell>
          <cell r="CJ2">
            <v>32</v>
          </cell>
          <cell r="CK2">
            <v>19</v>
          </cell>
          <cell r="CL2">
            <v>2509</v>
          </cell>
          <cell r="CM2">
            <v>2102.6765</v>
          </cell>
          <cell r="CN2">
            <v>391.06449199999997</v>
          </cell>
          <cell r="CO2">
            <v>134.81738799999999</v>
          </cell>
          <cell r="CP2">
            <v>15.259009000000001</v>
          </cell>
          <cell r="CQ2">
            <v>15348.269178</v>
          </cell>
          <cell r="CR2">
            <v>14332.265707</v>
          </cell>
          <cell r="CS2">
            <v>838.69372899999996</v>
          </cell>
          <cell r="CT2">
            <v>232.58854700000001</v>
          </cell>
          <cell r="CU2">
            <v>177.309742</v>
          </cell>
          <cell r="CV2">
            <v>960.61917600000004</v>
          </cell>
          <cell r="CW2">
            <v>36.904842000000002</v>
          </cell>
          <cell r="CX2">
            <v>481.34734300000002</v>
          </cell>
          <cell r="CY2">
            <v>289.24695200000002</v>
          </cell>
          <cell r="CZ2">
            <v>768</v>
          </cell>
          <cell r="DA2">
            <v>1</v>
          </cell>
          <cell r="DB2">
            <v>366</v>
          </cell>
          <cell r="DC2">
            <v>201</v>
          </cell>
          <cell r="DD2">
            <v>799.15259700000001</v>
          </cell>
          <cell r="DE2">
            <v>894.52272500000004</v>
          </cell>
          <cell r="DF2">
            <v>360.16063400000002</v>
          </cell>
          <cell r="DG2">
            <v>534.36209199999996</v>
          </cell>
          <cell r="DH2">
            <v>802</v>
          </cell>
          <cell r="DI2">
            <v>632</v>
          </cell>
          <cell r="DJ2">
            <v>734</v>
          </cell>
          <cell r="DK2">
            <v>327</v>
          </cell>
          <cell r="DL2">
            <v>407</v>
          </cell>
        </row>
        <row r="3">
          <cell r="A3" t="str">
            <v>37015</v>
          </cell>
          <cell r="B3" t="str">
            <v>Azay-sur-Cher</v>
          </cell>
          <cell r="C3" t="str">
            <v>CC de l'Est Tourangeau</v>
          </cell>
          <cell r="D3">
            <v>1190.0101689999999</v>
          </cell>
          <cell r="E3">
            <v>1091</v>
          </cell>
          <cell r="F3">
            <v>67.038135999999994</v>
          </cell>
          <cell r="G3">
            <v>31.972034000000001</v>
          </cell>
          <cell r="H3">
            <v>1073</v>
          </cell>
          <cell r="I3">
            <v>964</v>
          </cell>
          <cell r="J3">
            <v>67</v>
          </cell>
          <cell r="K3">
            <v>42</v>
          </cell>
          <cell r="L3">
            <v>916</v>
          </cell>
          <cell r="M3">
            <v>800</v>
          </cell>
          <cell r="N3">
            <v>88</v>
          </cell>
          <cell r="O3">
            <v>28</v>
          </cell>
          <cell r="P3">
            <v>756</v>
          </cell>
          <cell r="Q3">
            <v>607</v>
          </cell>
          <cell r="R3">
            <v>116</v>
          </cell>
          <cell r="S3">
            <v>33</v>
          </cell>
          <cell r="T3">
            <v>557</v>
          </cell>
          <cell r="U3">
            <v>446</v>
          </cell>
          <cell r="V3">
            <v>105</v>
          </cell>
          <cell r="W3">
            <v>6</v>
          </cell>
          <cell r="X3">
            <v>542</v>
          </cell>
          <cell r="Y3">
            <v>388</v>
          </cell>
          <cell r="Z3">
            <v>119</v>
          </cell>
          <cell r="AA3">
            <v>35</v>
          </cell>
          <cell r="AB3">
            <v>1139.190259</v>
          </cell>
          <cell r="AC3">
            <v>44.619652000000002</v>
          </cell>
          <cell r="AD3">
            <v>990</v>
          </cell>
          <cell r="AE3">
            <v>65</v>
          </cell>
          <cell r="AF3">
            <v>6.3829909999999996</v>
          </cell>
          <cell r="AG3">
            <v>44.875087000000001</v>
          </cell>
          <cell r="AH3">
            <v>130.63914800000001</v>
          </cell>
          <cell r="AI3">
            <v>246.91173499999999</v>
          </cell>
          <cell r="AJ3">
            <v>662.19103900000005</v>
          </cell>
          <cell r="AK3">
            <v>4</v>
          </cell>
          <cell r="AL3">
            <v>66</v>
          </cell>
          <cell r="AM3">
            <v>128</v>
          </cell>
          <cell r="AN3">
            <v>271</v>
          </cell>
          <cell r="AO3">
            <v>495</v>
          </cell>
          <cell r="AP3">
            <v>5372.7831470000001</v>
          </cell>
          <cell r="AQ3">
            <v>1051.525005</v>
          </cell>
          <cell r="AR3">
            <v>5274.8804440000004</v>
          </cell>
          <cell r="AS3">
            <v>37.400160999999997</v>
          </cell>
          <cell r="AT3">
            <v>92.667775000000006</v>
          </cell>
          <cell r="AU3">
            <v>4460</v>
          </cell>
          <cell r="AV3">
            <v>897</v>
          </cell>
          <cell r="AW3">
            <v>4183</v>
          </cell>
          <cell r="AX3">
            <v>57</v>
          </cell>
          <cell r="AY3">
            <v>249</v>
          </cell>
          <cell r="AZ3">
            <v>1087.9046719999999</v>
          </cell>
          <cell r="BA3">
            <v>335.80694799999998</v>
          </cell>
          <cell r="BB3">
            <v>144.92313200000001</v>
          </cell>
          <cell r="BC3">
            <v>366.71143999999998</v>
          </cell>
          <cell r="BD3">
            <v>240.46315200000001</v>
          </cell>
          <cell r="BE3">
            <v>315.63941399999999</v>
          </cell>
          <cell r="BF3">
            <v>140.74354099999999</v>
          </cell>
          <cell r="BG3">
            <v>365.62618099999997</v>
          </cell>
          <cell r="BH3">
            <v>227.50580099999999</v>
          </cell>
          <cell r="BI3">
            <v>19.177959000000001</v>
          </cell>
          <cell r="BJ3">
            <v>4.1795910000000003</v>
          </cell>
          <cell r="BK3">
            <v>0</v>
          </cell>
          <cell r="BL3">
            <v>12.957350999999999</v>
          </cell>
          <cell r="BM3">
            <v>1091</v>
          </cell>
          <cell r="BN3">
            <v>94.134023999999997</v>
          </cell>
          <cell r="BO3">
            <v>193.457538</v>
          </cell>
          <cell r="BP3">
            <v>187.85011700000001</v>
          </cell>
          <cell r="BQ3">
            <v>615.55832199999998</v>
          </cell>
          <cell r="BR3">
            <v>260.96653400000002</v>
          </cell>
          <cell r="BS3">
            <v>225.41788299999999</v>
          </cell>
          <cell r="BT3">
            <v>129.17390399999999</v>
          </cell>
          <cell r="BU3">
            <v>2878</v>
          </cell>
          <cell r="BV3">
            <v>238.658232</v>
          </cell>
          <cell r="BW3">
            <v>556.68427399999996</v>
          </cell>
          <cell r="BX3">
            <v>556.35001799999998</v>
          </cell>
          <cell r="BY3">
            <v>1526.307476</v>
          </cell>
          <cell r="BZ3">
            <v>422.40954399999998</v>
          </cell>
          <cell r="CA3">
            <v>929.05264199999999</v>
          </cell>
          <cell r="CB3">
            <v>931.49966800000004</v>
          </cell>
          <cell r="CC3">
            <v>3089.8212939999999</v>
          </cell>
          <cell r="CD3">
            <v>931.86994400000003</v>
          </cell>
          <cell r="CE3">
            <v>136.094493</v>
          </cell>
          <cell r="CF3">
            <v>11.677794</v>
          </cell>
          <cell r="CG3">
            <v>23.035564000000001</v>
          </cell>
          <cell r="CH3">
            <v>801</v>
          </cell>
          <cell r="CI3">
            <v>128</v>
          </cell>
          <cell r="CJ3">
            <v>9</v>
          </cell>
          <cell r="CK3">
            <v>35</v>
          </cell>
          <cell r="CL3">
            <v>2878</v>
          </cell>
          <cell r="CM3">
            <v>2536.1588259999999</v>
          </cell>
          <cell r="CN3">
            <v>292.38304499999998</v>
          </cell>
          <cell r="CO3">
            <v>19.905512000000002</v>
          </cell>
          <cell r="CP3">
            <v>49.458129</v>
          </cell>
          <cell r="CQ3">
            <v>16778.752186999998</v>
          </cell>
          <cell r="CR3">
            <v>15624.370849000001</v>
          </cell>
          <cell r="CS3">
            <v>711.71396800000002</v>
          </cell>
          <cell r="CT3">
            <v>60.271529999999998</v>
          </cell>
          <cell r="CU3">
            <v>442.66737000000001</v>
          </cell>
          <cell r="CV3">
            <v>1056.9784729999999</v>
          </cell>
          <cell r="CW3">
            <v>10.56062</v>
          </cell>
          <cell r="CX3">
            <v>449.11563100000001</v>
          </cell>
          <cell r="CY3">
            <v>419.49435199999999</v>
          </cell>
          <cell r="CZ3">
            <v>940</v>
          </cell>
          <cell r="DA3">
            <v>2</v>
          </cell>
          <cell r="DB3">
            <v>367</v>
          </cell>
          <cell r="DC3">
            <v>354</v>
          </cell>
          <cell r="DD3">
            <v>884.64320699999996</v>
          </cell>
          <cell r="DE3">
            <v>1037.1614939999999</v>
          </cell>
          <cell r="DF3">
            <v>400.13046900000001</v>
          </cell>
          <cell r="DG3">
            <v>637.031024</v>
          </cell>
          <cell r="DH3">
            <v>964</v>
          </cell>
          <cell r="DI3">
            <v>808</v>
          </cell>
          <cell r="DJ3">
            <v>905</v>
          </cell>
          <cell r="DK3">
            <v>366</v>
          </cell>
          <cell r="DL3">
            <v>539</v>
          </cell>
        </row>
        <row r="4">
          <cell r="A4" t="str">
            <v>37018</v>
          </cell>
          <cell r="B4" t="str">
            <v>Ballan-Miré</v>
          </cell>
          <cell r="C4" t="str">
            <v>Tour(s)plus</v>
          </cell>
          <cell r="D4">
            <v>3060.1854020000001</v>
          </cell>
          <cell r="E4">
            <v>2896.1854020000001</v>
          </cell>
          <cell r="F4">
            <v>38.588234999999997</v>
          </cell>
          <cell r="G4">
            <v>125.411765</v>
          </cell>
          <cell r="H4">
            <v>2580</v>
          </cell>
          <cell r="I4">
            <v>2460</v>
          </cell>
          <cell r="J4">
            <v>49</v>
          </cell>
          <cell r="K4">
            <v>71</v>
          </cell>
          <cell r="L4">
            <v>2072</v>
          </cell>
          <cell r="M4">
            <v>1955</v>
          </cell>
          <cell r="N4">
            <v>62</v>
          </cell>
          <cell r="O4">
            <v>55</v>
          </cell>
          <cell r="P4">
            <v>1505</v>
          </cell>
          <cell r="Q4">
            <v>1394</v>
          </cell>
          <cell r="R4">
            <v>57</v>
          </cell>
          <cell r="S4">
            <v>54</v>
          </cell>
          <cell r="T4">
            <v>1191</v>
          </cell>
          <cell r="U4">
            <v>1073</v>
          </cell>
          <cell r="V4">
            <v>52</v>
          </cell>
          <cell r="W4">
            <v>66</v>
          </cell>
          <cell r="X4">
            <v>858</v>
          </cell>
          <cell r="Y4">
            <v>756</v>
          </cell>
          <cell r="Z4">
            <v>59</v>
          </cell>
          <cell r="AA4">
            <v>43</v>
          </cell>
          <cell r="AB4">
            <v>2500.4941819999999</v>
          </cell>
          <cell r="AC4">
            <v>552.82700599999998</v>
          </cell>
          <cell r="AD4">
            <v>2217</v>
          </cell>
          <cell r="AE4">
            <v>333</v>
          </cell>
          <cell r="AF4">
            <v>29.775724</v>
          </cell>
          <cell r="AG4">
            <v>196.519777</v>
          </cell>
          <cell r="AH4">
            <v>416.86013300000002</v>
          </cell>
          <cell r="AI4">
            <v>653.08087499999999</v>
          </cell>
          <cell r="AJ4">
            <v>1599.9488919999999</v>
          </cell>
          <cell r="AK4">
            <v>27</v>
          </cell>
          <cell r="AL4">
            <v>149</v>
          </cell>
          <cell r="AM4">
            <v>364</v>
          </cell>
          <cell r="AN4">
            <v>728</v>
          </cell>
          <cell r="AO4">
            <v>1192</v>
          </cell>
          <cell r="AP4">
            <v>13687.900231</v>
          </cell>
          <cell r="AQ4">
            <v>2374.1177109999999</v>
          </cell>
          <cell r="AR4">
            <v>12130.629876000001</v>
          </cell>
          <cell r="AS4">
            <v>518.09759399999996</v>
          </cell>
          <cell r="AT4">
            <v>1545.3600650000001</v>
          </cell>
          <cell r="AU4">
            <v>11118</v>
          </cell>
          <cell r="AV4">
            <v>2116</v>
          </cell>
          <cell r="AW4">
            <v>10063</v>
          </cell>
          <cell r="AX4">
            <v>320</v>
          </cell>
          <cell r="AY4">
            <v>1002</v>
          </cell>
          <cell r="AZ4">
            <v>2644.0842729999999</v>
          </cell>
          <cell r="BA4">
            <v>314.63014800000002</v>
          </cell>
          <cell r="BB4">
            <v>635.21544100000006</v>
          </cell>
          <cell r="BC4">
            <v>960.76335500000005</v>
          </cell>
          <cell r="BD4">
            <v>733.47532999999999</v>
          </cell>
          <cell r="BE4">
            <v>288.824521</v>
          </cell>
          <cell r="BF4">
            <v>497.25458700000001</v>
          </cell>
          <cell r="BG4">
            <v>828.75764600000002</v>
          </cell>
          <cell r="BH4">
            <v>568.71632499999998</v>
          </cell>
          <cell r="BI4">
            <v>24.813103000000002</v>
          </cell>
          <cell r="BJ4">
            <v>136.96832900000001</v>
          </cell>
          <cell r="BK4">
            <v>131.01318499999999</v>
          </cell>
          <cell r="BL4">
            <v>164.759005</v>
          </cell>
          <cell r="BM4">
            <v>2896.1854020000001</v>
          </cell>
          <cell r="BN4">
            <v>354.33111300000002</v>
          </cell>
          <cell r="BO4">
            <v>526.03778699999998</v>
          </cell>
          <cell r="BP4">
            <v>506.18730499999998</v>
          </cell>
          <cell r="BQ4">
            <v>1509.629197</v>
          </cell>
          <cell r="BR4">
            <v>619.33505500000001</v>
          </cell>
          <cell r="BS4">
            <v>474.42653300000001</v>
          </cell>
          <cell r="BT4">
            <v>415.86760900000002</v>
          </cell>
          <cell r="BU4">
            <v>7302</v>
          </cell>
          <cell r="BV4">
            <v>855.55579699999998</v>
          </cell>
          <cell r="BW4">
            <v>1381.593584</v>
          </cell>
          <cell r="BX4">
            <v>1466.9506590000001</v>
          </cell>
          <cell r="BY4">
            <v>3597.8999589999999</v>
          </cell>
          <cell r="BZ4">
            <v>1463.9730870000001</v>
          </cell>
          <cell r="CA4">
            <v>2293.7232570000001</v>
          </cell>
          <cell r="CB4">
            <v>2472.3775999999998</v>
          </cell>
          <cell r="CC4">
            <v>7457.8262880000002</v>
          </cell>
          <cell r="CD4">
            <v>2100.1810519999999</v>
          </cell>
          <cell r="CE4">
            <v>754.31833600000004</v>
          </cell>
          <cell r="CF4">
            <v>376.16664400000002</v>
          </cell>
          <cell r="CG4">
            <v>41.686013000000003</v>
          </cell>
          <cell r="CH4">
            <v>1808</v>
          </cell>
          <cell r="CI4">
            <v>609</v>
          </cell>
          <cell r="CJ4">
            <v>341</v>
          </cell>
          <cell r="CK4">
            <v>43</v>
          </cell>
          <cell r="CL4">
            <v>7302</v>
          </cell>
          <cell r="CM4">
            <v>5553.1724889999996</v>
          </cell>
          <cell r="CN4">
            <v>1645.605002</v>
          </cell>
          <cell r="CO4">
            <v>786.07910800000002</v>
          </cell>
          <cell r="CP4">
            <v>103.222509</v>
          </cell>
          <cell r="CQ4">
            <v>40923.754790999999</v>
          </cell>
          <cell r="CR4">
            <v>35210.785918000001</v>
          </cell>
          <cell r="CS4">
            <v>5365.5854289999997</v>
          </cell>
          <cell r="CT4">
            <v>3730.8981920000001</v>
          </cell>
          <cell r="CU4">
            <v>347.383444</v>
          </cell>
          <cell r="CV4">
            <v>2863.4321049999999</v>
          </cell>
          <cell r="CW4">
            <v>39.700964999999997</v>
          </cell>
          <cell r="CX4">
            <v>1796.4686690000001</v>
          </cell>
          <cell r="CY4">
            <v>823.79502500000001</v>
          </cell>
          <cell r="CZ4">
            <v>2426</v>
          </cell>
          <cell r="DA4">
            <v>36</v>
          </cell>
          <cell r="DB4">
            <v>1583</v>
          </cell>
          <cell r="DC4">
            <v>566</v>
          </cell>
          <cell r="DD4">
            <v>2346.3270349999998</v>
          </cell>
          <cell r="DE4">
            <v>2705.6207690000001</v>
          </cell>
          <cell r="DF4">
            <v>1190.0364279999999</v>
          </cell>
          <cell r="DG4">
            <v>1515.584341</v>
          </cell>
          <cell r="DH4">
            <v>2460</v>
          </cell>
          <cell r="DI4">
            <v>2034</v>
          </cell>
          <cell r="DJ4">
            <v>2272</v>
          </cell>
          <cell r="DK4">
            <v>998</v>
          </cell>
          <cell r="DL4">
            <v>1274</v>
          </cell>
        </row>
        <row r="5">
          <cell r="A5" t="str">
            <v>37025</v>
          </cell>
          <cell r="B5" t="str">
            <v>Berthenay</v>
          </cell>
          <cell r="C5" t="str">
            <v>Tour(s)plus</v>
          </cell>
          <cell r="D5">
            <v>255.62873400000001</v>
          </cell>
          <cell r="E5">
            <v>239.62873400000001</v>
          </cell>
          <cell r="F5">
            <v>7</v>
          </cell>
          <cell r="G5">
            <v>9</v>
          </cell>
          <cell r="H5">
            <v>237</v>
          </cell>
          <cell r="I5">
            <v>219</v>
          </cell>
          <cell r="J5">
            <v>9</v>
          </cell>
          <cell r="K5">
            <v>9</v>
          </cell>
          <cell r="L5">
            <v>223</v>
          </cell>
          <cell r="M5">
            <v>178</v>
          </cell>
          <cell r="N5">
            <v>25</v>
          </cell>
          <cell r="O5">
            <v>20</v>
          </cell>
          <cell r="P5">
            <v>179</v>
          </cell>
          <cell r="Q5">
            <v>123</v>
          </cell>
          <cell r="R5">
            <v>29</v>
          </cell>
          <cell r="S5">
            <v>27</v>
          </cell>
          <cell r="T5">
            <v>149</v>
          </cell>
          <cell r="U5">
            <v>108</v>
          </cell>
          <cell r="V5">
            <v>30</v>
          </cell>
          <cell r="W5">
            <v>11</v>
          </cell>
          <cell r="X5">
            <v>141</v>
          </cell>
          <cell r="Y5">
            <v>106</v>
          </cell>
          <cell r="Z5">
            <v>23</v>
          </cell>
          <cell r="AA5">
            <v>12</v>
          </cell>
          <cell r="AB5">
            <v>251.65149400000001</v>
          </cell>
          <cell r="AC5">
            <v>2.9829300000000001</v>
          </cell>
          <cell r="AD5">
            <v>233</v>
          </cell>
          <cell r="AE5">
            <v>0</v>
          </cell>
          <cell r="AF5">
            <v>0.99431000000000003</v>
          </cell>
          <cell r="AG5">
            <v>2.9829300000000001</v>
          </cell>
          <cell r="AH5">
            <v>35.795164</v>
          </cell>
          <cell r="AI5">
            <v>58.664296</v>
          </cell>
          <cell r="AJ5">
            <v>141.19203400000001</v>
          </cell>
          <cell r="AK5">
            <v>3</v>
          </cell>
          <cell r="AL5">
            <v>9</v>
          </cell>
          <cell r="AM5">
            <v>40</v>
          </cell>
          <cell r="AN5">
            <v>51</v>
          </cell>
          <cell r="AO5">
            <v>116</v>
          </cell>
          <cell r="AP5">
            <v>1171.2972970000001</v>
          </cell>
          <cell r="AQ5">
            <v>235.65149400000001</v>
          </cell>
          <cell r="AR5">
            <v>1161.354196</v>
          </cell>
          <cell r="AS5">
            <v>2.9829300000000001</v>
          </cell>
          <cell r="AT5">
            <v>8.9487909999999999</v>
          </cell>
          <cell r="AU5">
            <v>991</v>
          </cell>
          <cell r="AV5">
            <v>215</v>
          </cell>
          <cell r="AW5">
            <v>983</v>
          </cell>
          <cell r="AX5">
            <v>0</v>
          </cell>
          <cell r="AY5">
            <v>0</v>
          </cell>
          <cell r="AZ5">
            <v>225.708393</v>
          </cell>
          <cell r="BA5">
            <v>68.607397000000006</v>
          </cell>
          <cell r="BB5">
            <v>26.846373</v>
          </cell>
          <cell r="BC5">
            <v>87.499289000000005</v>
          </cell>
          <cell r="BD5">
            <v>42.755333999999998</v>
          </cell>
          <cell r="BE5">
            <v>66.618776999999994</v>
          </cell>
          <cell r="BF5">
            <v>24.857752000000001</v>
          </cell>
          <cell r="BG5">
            <v>87.499289000000005</v>
          </cell>
          <cell r="BH5">
            <v>42.755333999999998</v>
          </cell>
          <cell r="BI5">
            <v>0.99431000000000003</v>
          </cell>
          <cell r="BJ5">
            <v>1.9886200000000001</v>
          </cell>
          <cell r="BK5">
            <v>0</v>
          </cell>
          <cell r="BL5">
            <v>0</v>
          </cell>
          <cell r="BM5">
            <v>239.62873400000001</v>
          </cell>
          <cell r="BN5">
            <v>23.863441999999999</v>
          </cell>
          <cell r="BO5">
            <v>40.766714</v>
          </cell>
          <cell r="BP5">
            <v>38.778094000000003</v>
          </cell>
          <cell r="BQ5">
            <v>136.220484</v>
          </cell>
          <cell r="BR5">
            <v>68.607397000000006</v>
          </cell>
          <cell r="BS5">
            <v>41.761023999999999</v>
          </cell>
          <cell r="BT5">
            <v>25.852063000000001</v>
          </cell>
          <cell r="BU5">
            <v>699</v>
          </cell>
          <cell r="BV5">
            <v>75.567567999999994</v>
          </cell>
          <cell r="BW5">
            <v>119.317212</v>
          </cell>
          <cell r="BX5">
            <v>117.328592</v>
          </cell>
          <cell r="BY5">
            <v>386.786629</v>
          </cell>
          <cell r="BZ5">
            <v>115.339972</v>
          </cell>
          <cell r="CA5">
            <v>202.83926</v>
          </cell>
          <cell r="CB5">
            <v>182.953058</v>
          </cell>
          <cell r="CC5">
            <v>670.16500699999995</v>
          </cell>
          <cell r="CD5">
            <v>210.79374100000001</v>
          </cell>
          <cell r="CE5">
            <v>26.846373</v>
          </cell>
          <cell r="CF5">
            <v>3.9772400000000001</v>
          </cell>
          <cell r="CG5">
            <v>1.9886200000000001</v>
          </cell>
          <cell r="CH5">
            <v>190</v>
          </cell>
          <cell r="CI5">
            <v>24</v>
          </cell>
          <cell r="CJ5">
            <v>1</v>
          </cell>
          <cell r="CK5">
            <v>5</v>
          </cell>
          <cell r="CL5">
            <v>699</v>
          </cell>
          <cell r="CM5">
            <v>620.44950200000005</v>
          </cell>
          <cell r="CN5">
            <v>75.567567999999994</v>
          </cell>
          <cell r="CO5">
            <v>18.891891999999999</v>
          </cell>
          <cell r="CP5">
            <v>2.9829300000000001</v>
          </cell>
          <cell r="CQ5">
            <v>3555.652916</v>
          </cell>
          <cell r="CR5">
            <v>3392.5860600000001</v>
          </cell>
          <cell r="CS5">
            <v>158.09530599999999</v>
          </cell>
          <cell r="CT5">
            <v>41.761023999999999</v>
          </cell>
          <cell r="CU5">
            <v>4.9715499999999997</v>
          </cell>
          <cell r="CV5">
            <v>236.645804</v>
          </cell>
          <cell r="CW5">
            <v>1.9886200000000001</v>
          </cell>
          <cell r="CX5">
            <v>104.40255999999999</v>
          </cell>
          <cell r="CY5">
            <v>70.596017000000003</v>
          </cell>
          <cell r="CZ5">
            <v>210</v>
          </cell>
          <cell r="DA5">
            <v>1</v>
          </cell>
          <cell r="DB5">
            <v>95</v>
          </cell>
          <cell r="DC5">
            <v>55</v>
          </cell>
          <cell r="DD5">
            <v>191.901849</v>
          </cell>
          <cell r="DE5">
            <v>230.67994300000001</v>
          </cell>
          <cell r="DF5">
            <v>79.544808000000003</v>
          </cell>
          <cell r="DG5">
            <v>151.13513499999999</v>
          </cell>
          <cell r="DH5">
            <v>219</v>
          </cell>
          <cell r="DI5">
            <v>173</v>
          </cell>
          <cell r="DJ5">
            <v>210</v>
          </cell>
          <cell r="DK5">
            <v>80</v>
          </cell>
          <cell r="DL5">
            <v>130</v>
          </cell>
        </row>
        <row r="6">
          <cell r="A6" t="str">
            <v>37050</v>
          </cell>
          <cell r="B6" t="str">
            <v>Chambray-lès-Tours</v>
          </cell>
          <cell r="C6" t="str">
            <v>Tour(s)plus</v>
          </cell>
          <cell r="D6">
            <v>5348</v>
          </cell>
          <cell r="E6">
            <v>4824.9333399999996</v>
          </cell>
          <cell r="F6">
            <v>237.81483600000001</v>
          </cell>
          <cell r="G6">
            <v>285.251824</v>
          </cell>
          <cell r="H6">
            <v>4962</v>
          </cell>
          <cell r="I6">
            <v>4429</v>
          </cell>
          <cell r="J6">
            <v>125</v>
          </cell>
          <cell r="K6">
            <v>408</v>
          </cell>
          <cell r="L6">
            <v>3691</v>
          </cell>
          <cell r="M6">
            <v>3347</v>
          </cell>
          <cell r="N6">
            <v>169</v>
          </cell>
          <cell r="O6">
            <v>175</v>
          </cell>
          <cell r="P6">
            <v>3179</v>
          </cell>
          <cell r="Q6">
            <v>2810</v>
          </cell>
          <cell r="R6">
            <v>55</v>
          </cell>
          <cell r="S6">
            <v>314</v>
          </cell>
          <cell r="T6">
            <v>2411</v>
          </cell>
          <cell r="U6">
            <v>2030</v>
          </cell>
          <cell r="V6">
            <v>128</v>
          </cell>
          <cell r="W6">
            <v>253</v>
          </cell>
          <cell r="X6">
            <v>1005</v>
          </cell>
          <cell r="Y6">
            <v>912</v>
          </cell>
          <cell r="Z6">
            <v>37</v>
          </cell>
          <cell r="AA6">
            <v>56</v>
          </cell>
          <cell r="AB6">
            <v>2681.5627519999998</v>
          </cell>
          <cell r="AC6">
            <v>2375.4609489999998</v>
          </cell>
          <cell r="AD6">
            <v>2424</v>
          </cell>
          <cell r="AE6">
            <v>2398</v>
          </cell>
          <cell r="AF6">
            <v>734.99237200000005</v>
          </cell>
          <cell r="AG6">
            <v>536.92171599999995</v>
          </cell>
          <cell r="AH6">
            <v>854.06738900000005</v>
          </cell>
          <cell r="AI6">
            <v>958.59671600000001</v>
          </cell>
          <cell r="AJ6">
            <v>1740.3551480000001</v>
          </cell>
          <cell r="AK6">
            <v>745</v>
          </cell>
          <cell r="AL6">
            <v>464</v>
          </cell>
          <cell r="AM6">
            <v>806</v>
          </cell>
          <cell r="AN6">
            <v>969</v>
          </cell>
          <cell r="AO6">
            <v>1445</v>
          </cell>
          <cell r="AP6">
            <v>18389.038691999998</v>
          </cell>
          <cell r="AQ6">
            <v>2600.9297919999999</v>
          </cell>
          <cell r="AR6">
            <v>13168.76989</v>
          </cell>
          <cell r="AS6">
            <v>2168.0342660000001</v>
          </cell>
          <cell r="AT6">
            <v>5145.0123970000004</v>
          </cell>
          <cell r="AU6">
            <v>16275</v>
          </cell>
          <cell r="AV6">
            <v>2311</v>
          </cell>
          <cell r="AW6">
            <v>11348</v>
          </cell>
          <cell r="AX6">
            <v>2000</v>
          </cell>
          <cell r="AY6">
            <v>4720</v>
          </cell>
          <cell r="AZ6">
            <v>4737.9428420000004</v>
          </cell>
          <cell r="BA6">
            <v>163.01555400000001</v>
          </cell>
          <cell r="BB6">
            <v>1759.9691760000001</v>
          </cell>
          <cell r="BC6">
            <v>1411.9269589999999</v>
          </cell>
          <cell r="BD6">
            <v>1403.031152</v>
          </cell>
          <cell r="BE6">
            <v>163.01555400000001</v>
          </cell>
          <cell r="BF6">
            <v>734.00313200000005</v>
          </cell>
          <cell r="BG6">
            <v>887.85083799999995</v>
          </cell>
          <cell r="BH6">
            <v>793.50117799999998</v>
          </cell>
          <cell r="BI6">
            <v>0</v>
          </cell>
          <cell r="BJ6">
            <v>1018.068724</v>
          </cell>
          <cell r="BK6">
            <v>495.08865900000001</v>
          </cell>
          <cell r="BL6">
            <v>590.44547399999999</v>
          </cell>
          <cell r="BM6">
            <v>4824.9333399999996</v>
          </cell>
          <cell r="BN6">
            <v>755.02514499999995</v>
          </cell>
          <cell r="BO6">
            <v>1198.4317599999999</v>
          </cell>
          <cell r="BP6">
            <v>946.71287900000004</v>
          </cell>
          <cell r="BQ6">
            <v>1924.7635560000001</v>
          </cell>
          <cell r="BR6">
            <v>798.15694800000006</v>
          </cell>
          <cell r="BS6">
            <v>565.87363800000003</v>
          </cell>
          <cell r="BT6">
            <v>560.73297000000002</v>
          </cell>
          <cell r="BU6">
            <v>10379.651862000001</v>
          </cell>
          <cell r="BV6">
            <v>1283.9205770000001</v>
          </cell>
          <cell r="BW6">
            <v>2611.5735249999998</v>
          </cell>
          <cell r="BX6">
            <v>2356.9415079999999</v>
          </cell>
          <cell r="BY6">
            <v>4127.2162520000002</v>
          </cell>
          <cell r="BZ6">
            <v>1917.3267089999999</v>
          </cell>
          <cell r="CA6">
            <v>3898.8732260000002</v>
          </cell>
          <cell r="CB6">
            <v>3776.6259610000002</v>
          </cell>
          <cell r="CC6">
            <v>8796.2127959999998</v>
          </cell>
          <cell r="CD6">
            <v>2476.3417800000002</v>
          </cell>
          <cell r="CE6">
            <v>2281.3177230000001</v>
          </cell>
          <cell r="CF6">
            <v>759.96525899999995</v>
          </cell>
          <cell r="CG6">
            <v>67.273836000000003</v>
          </cell>
          <cell r="CH6">
            <v>2211</v>
          </cell>
          <cell r="CI6">
            <v>2130</v>
          </cell>
          <cell r="CJ6">
            <v>798</v>
          </cell>
          <cell r="CK6">
            <v>88</v>
          </cell>
          <cell r="CL6">
            <v>10379.651862000001</v>
          </cell>
          <cell r="CM6">
            <v>5844.4466350000002</v>
          </cell>
          <cell r="CN6">
            <v>4368.7841010000002</v>
          </cell>
          <cell r="CO6">
            <v>1598.770806</v>
          </cell>
          <cell r="CP6">
            <v>166.42112599999999</v>
          </cell>
          <cell r="CQ6">
            <v>55499.747497999997</v>
          </cell>
          <cell r="CR6">
            <v>42059.959606999997</v>
          </cell>
          <cell r="CS6">
            <v>12638.160414</v>
          </cell>
          <cell r="CT6">
            <v>6601.4234939999997</v>
          </cell>
          <cell r="CU6">
            <v>801.627477</v>
          </cell>
          <cell r="CV6">
            <v>4763.2740599999997</v>
          </cell>
          <cell r="CW6">
            <v>773.05510000000004</v>
          </cell>
          <cell r="CX6">
            <v>2423.8670080000002</v>
          </cell>
          <cell r="CY6">
            <v>1438.577702</v>
          </cell>
          <cell r="CZ6">
            <v>4386</v>
          </cell>
          <cell r="DA6">
            <v>543</v>
          </cell>
          <cell r="DB6">
            <v>2269</v>
          </cell>
          <cell r="DC6">
            <v>1422</v>
          </cell>
          <cell r="DD6">
            <v>3566.0615480000001</v>
          </cell>
          <cell r="DE6">
            <v>4369.3359959999998</v>
          </cell>
          <cell r="DF6">
            <v>2591.4395169999998</v>
          </cell>
          <cell r="DG6">
            <v>1777.8964800000001</v>
          </cell>
          <cell r="DH6">
            <v>4429</v>
          </cell>
          <cell r="DI6">
            <v>3287</v>
          </cell>
          <cell r="DJ6">
            <v>3945</v>
          </cell>
          <cell r="DK6">
            <v>2350</v>
          </cell>
          <cell r="DL6">
            <v>1595</v>
          </cell>
        </row>
        <row r="7">
          <cell r="A7" t="str">
            <v>37052</v>
          </cell>
          <cell r="B7" t="str">
            <v>Chançay</v>
          </cell>
          <cell r="C7" t="str">
            <v>Vouvrillon</v>
          </cell>
          <cell r="D7">
            <v>451</v>
          </cell>
          <cell r="E7">
            <v>399</v>
          </cell>
          <cell r="F7">
            <v>24</v>
          </cell>
          <cell r="G7">
            <v>28</v>
          </cell>
          <cell r="H7">
            <v>428</v>
          </cell>
          <cell r="I7">
            <v>361</v>
          </cell>
          <cell r="J7">
            <v>40</v>
          </cell>
          <cell r="K7">
            <v>27</v>
          </cell>
          <cell r="L7">
            <v>405</v>
          </cell>
          <cell r="M7">
            <v>309</v>
          </cell>
          <cell r="N7">
            <v>52</v>
          </cell>
          <cell r="O7">
            <v>44</v>
          </cell>
          <cell r="P7">
            <v>366</v>
          </cell>
          <cell r="Q7">
            <v>283</v>
          </cell>
          <cell r="R7">
            <v>61</v>
          </cell>
          <cell r="S7">
            <v>22</v>
          </cell>
          <cell r="T7">
            <v>283</v>
          </cell>
          <cell r="U7">
            <v>206</v>
          </cell>
          <cell r="V7">
            <v>53</v>
          </cell>
          <cell r="W7">
            <v>24</v>
          </cell>
          <cell r="X7">
            <v>260</v>
          </cell>
          <cell r="Y7">
            <v>208</v>
          </cell>
          <cell r="Z7">
            <v>31</v>
          </cell>
          <cell r="AA7">
            <v>21</v>
          </cell>
          <cell r="AB7">
            <v>432</v>
          </cell>
          <cell r="AC7">
            <v>18</v>
          </cell>
          <cell r="AD7">
            <v>393</v>
          </cell>
          <cell r="AE7">
            <v>22</v>
          </cell>
          <cell r="AF7">
            <v>1</v>
          </cell>
          <cell r="AG7">
            <v>34</v>
          </cell>
          <cell r="AH7">
            <v>49</v>
          </cell>
          <cell r="AI7">
            <v>100</v>
          </cell>
          <cell r="AJ7">
            <v>215</v>
          </cell>
          <cell r="AK7">
            <v>3</v>
          </cell>
          <cell r="AL7">
            <v>34</v>
          </cell>
          <cell r="AM7">
            <v>70</v>
          </cell>
          <cell r="AN7">
            <v>99</v>
          </cell>
          <cell r="AO7">
            <v>155</v>
          </cell>
          <cell r="AP7">
            <v>1847</v>
          </cell>
          <cell r="AQ7">
            <v>382</v>
          </cell>
          <cell r="AR7">
            <v>1807</v>
          </cell>
          <cell r="AS7">
            <v>17</v>
          </cell>
          <cell r="AT7">
            <v>40</v>
          </cell>
          <cell r="AU7">
            <v>1555</v>
          </cell>
          <cell r="AV7">
            <v>337</v>
          </cell>
          <cell r="AW7">
            <v>1482</v>
          </cell>
          <cell r="AX7">
            <v>18</v>
          </cell>
          <cell r="AY7">
            <v>57</v>
          </cell>
          <cell r="AZ7">
            <v>393</v>
          </cell>
          <cell r="BA7">
            <v>161</v>
          </cell>
          <cell r="BB7">
            <v>35</v>
          </cell>
          <cell r="BC7">
            <v>137</v>
          </cell>
          <cell r="BD7">
            <v>60</v>
          </cell>
          <cell r="BE7">
            <v>160</v>
          </cell>
          <cell r="BF7">
            <v>35</v>
          </cell>
          <cell r="BG7">
            <v>124</v>
          </cell>
          <cell r="BH7">
            <v>57</v>
          </cell>
          <cell r="BI7">
            <v>1</v>
          </cell>
          <cell r="BJ7">
            <v>0</v>
          </cell>
          <cell r="BK7">
            <v>13</v>
          </cell>
          <cell r="BL7">
            <v>3</v>
          </cell>
          <cell r="BM7">
            <v>399</v>
          </cell>
          <cell r="BN7">
            <v>30</v>
          </cell>
          <cell r="BO7">
            <v>66</v>
          </cell>
          <cell r="BP7">
            <v>78</v>
          </cell>
          <cell r="BQ7">
            <v>225</v>
          </cell>
          <cell r="BR7">
            <v>72</v>
          </cell>
          <cell r="BS7">
            <v>77</v>
          </cell>
          <cell r="BT7">
            <v>76</v>
          </cell>
          <cell r="BU7">
            <v>989</v>
          </cell>
          <cell r="BV7">
            <v>64</v>
          </cell>
          <cell r="BW7">
            <v>177</v>
          </cell>
          <cell r="BX7">
            <v>230</v>
          </cell>
          <cell r="BY7">
            <v>518</v>
          </cell>
          <cell r="BZ7">
            <v>111</v>
          </cell>
          <cell r="CA7">
            <v>282</v>
          </cell>
          <cell r="CB7">
            <v>378</v>
          </cell>
          <cell r="CC7">
            <v>1076</v>
          </cell>
          <cell r="CD7">
            <v>304</v>
          </cell>
          <cell r="CE7">
            <v>84</v>
          </cell>
          <cell r="CF7">
            <v>40</v>
          </cell>
          <cell r="CG7">
            <v>11</v>
          </cell>
          <cell r="CH7">
            <v>264</v>
          </cell>
          <cell r="CI7">
            <v>79</v>
          </cell>
          <cell r="CJ7">
            <v>38</v>
          </cell>
          <cell r="CK7">
            <v>18</v>
          </cell>
          <cell r="CL7">
            <v>989</v>
          </cell>
          <cell r="CM7">
            <v>765</v>
          </cell>
          <cell r="CN7">
            <v>199</v>
          </cell>
          <cell r="CO7">
            <v>97</v>
          </cell>
          <cell r="CP7">
            <v>25</v>
          </cell>
          <cell r="CQ7">
            <v>7145</v>
          </cell>
          <cell r="CR7">
            <v>6206</v>
          </cell>
          <cell r="CS7">
            <v>704</v>
          </cell>
          <cell r="CT7">
            <v>315</v>
          </cell>
          <cell r="CU7">
            <v>235</v>
          </cell>
          <cell r="CV7">
            <v>392</v>
          </cell>
          <cell r="CW7">
            <v>1</v>
          </cell>
          <cell r="CX7">
            <v>176</v>
          </cell>
          <cell r="CY7">
            <v>127</v>
          </cell>
          <cell r="CZ7">
            <v>340</v>
          </cell>
          <cell r="DA7">
            <v>2</v>
          </cell>
          <cell r="DB7">
            <v>157</v>
          </cell>
          <cell r="DC7">
            <v>115</v>
          </cell>
          <cell r="DD7">
            <v>327</v>
          </cell>
          <cell r="DE7">
            <v>380</v>
          </cell>
          <cell r="DF7">
            <v>165</v>
          </cell>
          <cell r="DG7">
            <v>215</v>
          </cell>
          <cell r="DH7">
            <v>361</v>
          </cell>
          <cell r="DI7">
            <v>268</v>
          </cell>
          <cell r="DJ7">
            <v>335</v>
          </cell>
          <cell r="DK7">
            <v>151</v>
          </cell>
          <cell r="DL7">
            <v>184</v>
          </cell>
        </row>
        <row r="8">
          <cell r="A8" t="str">
            <v>37054</v>
          </cell>
          <cell r="B8" t="str">
            <v>Chanceaux-sur-Choisille</v>
          </cell>
          <cell r="C8" t="str">
            <v>Vouvrillon</v>
          </cell>
          <cell r="D8">
            <v>1248.1658259999999</v>
          </cell>
          <cell r="E8">
            <v>1214.1658259999999</v>
          </cell>
          <cell r="F8">
            <v>4.1212119999999999</v>
          </cell>
          <cell r="G8">
            <v>29.878788</v>
          </cell>
          <cell r="H8">
            <v>965</v>
          </cell>
          <cell r="I8">
            <v>923</v>
          </cell>
          <cell r="J8">
            <v>15</v>
          </cell>
          <cell r="K8">
            <v>27</v>
          </cell>
          <cell r="L8">
            <v>809</v>
          </cell>
          <cell r="M8">
            <v>766</v>
          </cell>
          <cell r="N8">
            <v>21</v>
          </cell>
          <cell r="O8">
            <v>22</v>
          </cell>
          <cell r="P8">
            <v>571</v>
          </cell>
          <cell r="Q8">
            <v>530</v>
          </cell>
          <cell r="R8">
            <v>23</v>
          </cell>
          <cell r="S8">
            <v>18</v>
          </cell>
          <cell r="T8">
            <v>278</v>
          </cell>
          <cell r="U8">
            <v>274</v>
          </cell>
          <cell r="V8">
            <v>2</v>
          </cell>
          <cell r="W8">
            <v>2</v>
          </cell>
          <cell r="X8">
            <v>227</v>
          </cell>
          <cell r="Y8">
            <v>200</v>
          </cell>
          <cell r="Z8">
            <v>17</v>
          </cell>
          <cell r="AA8">
            <v>10</v>
          </cell>
          <cell r="AB8">
            <v>1172.966743</v>
          </cell>
          <cell r="AC8">
            <v>69.300432999999998</v>
          </cell>
          <cell r="AD8">
            <v>923</v>
          </cell>
          <cell r="AE8">
            <v>29</v>
          </cell>
          <cell r="AF8">
            <v>5.8420170000000002</v>
          </cell>
          <cell r="AG8">
            <v>33.104762000000001</v>
          </cell>
          <cell r="AH8">
            <v>103.20896399999999</v>
          </cell>
          <cell r="AI8">
            <v>375.83641499999999</v>
          </cell>
          <cell r="AJ8">
            <v>696.17366900000002</v>
          </cell>
          <cell r="AK8">
            <v>4</v>
          </cell>
          <cell r="AL8">
            <v>28</v>
          </cell>
          <cell r="AM8">
            <v>98</v>
          </cell>
          <cell r="AN8">
            <v>332</v>
          </cell>
          <cell r="AO8">
            <v>461</v>
          </cell>
          <cell r="AP8">
            <v>5845.9114849999996</v>
          </cell>
          <cell r="AQ8">
            <v>1143.087955</v>
          </cell>
          <cell r="AR8">
            <v>5620.020168</v>
          </cell>
          <cell r="AS8">
            <v>66.209524000000002</v>
          </cell>
          <cell r="AT8">
            <v>219.07562999999999</v>
          </cell>
          <cell r="AU8">
            <v>4267</v>
          </cell>
          <cell r="AV8">
            <v>887</v>
          </cell>
          <cell r="AW8">
            <v>4154</v>
          </cell>
          <cell r="AX8">
            <v>25</v>
          </cell>
          <cell r="AY8">
            <v>79</v>
          </cell>
          <cell r="AZ8">
            <v>1112.9042019999999</v>
          </cell>
          <cell r="BA8">
            <v>138.261064</v>
          </cell>
          <cell r="BB8">
            <v>103.20896399999999</v>
          </cell>
          <cell r="BC8">
            <v>476.12437</v>
          </cell>
          <cell r="BD8">
            <v>395.30980399999999</v>
          </cell>
          <cell r="BE8">
            <v>125.60336100000001</v>
          </cell>
          <cell r="BF8">
            <v>102.235294</v>
          </cell>
          <cell r="BG8">
            <v>474.177031</v>
          </cell>
          <cell r="BH8">
            <v>343.70532200000002</v>
          </cell>
          <cell r="BI8">
            <v>9.7366949999999992</v>
          </cell>
          <cell r="BJ8">
            <v>0.97366900000000001</v>
          </cell>
          <cell r="BK8">
            <v>0</v>
          </cell>
          <cell r="BL8">
            <v>51.604481999999997</v>
          </cell>
          <cell r="BM8">
            <v>1214.1658259999999</v>
          </cell>
          <cell r="BN8">
            <v>98.340615999999997</v>
          </cell>
          <cell r="BO8">
            <v>261.91708699999998</v>
          </cell>
          <cell r="BP8">
            <v>246.33837500000001</v>
          </cell>
          <cell r="BQ8">
            <v>607.569748</v>
          </cell>
          <cell r="BR8">
            <v>208.36526599999999</v>
          </cell>
          <cell r="BS8">
            <v>229.78599399999999</v>
          </cell>
          <cell r="BT8">
            <v>169.418487</v>
          </cell>
          <cell r="BU8">
            <v>3476</v>
          </cell>
          <cell r="BV8">
            <v>271.65378199999998</v>
          </cell>
          <cell r="BW8">
            <v>823.72437000000002</v>
          </cell>
          <cell r="BX8">
            <v>822.75070000000005</v>
          </cell>
          <cell r="BY8">
            <v>1557.8711479999999</v>
          </cell>
          <cell r="BZ8">
            <v>427.44089600000001</v>
          </cell>
          <cell r="CA8">
            <v>1217.0868350000001</v>
          </cell>
          <cell r="CB8">
            <v>1209.2974790000001</v>
          </cell>
          <cell r="CC8">
            <v>2992.0862750000001</v>
          </cell>
          <cell r="CD8">
            <v>975.61680699999999</v>
          </cell>
          <cell r="CE8">
            <v>220.04929999999999</v>
          </cell>
          <cell r="CF8">
            <v>60.367507000000003</v>
          </cell>
          <cell r="CG8">
            <v>18.49972</v>
          </cell>
          <cell r="CH8">
            <v>821</v>
          </cell>
          <cell r="CI8">
            <v>93</v>
          </cell>
          <cell r="CJ8">
            <v>0</v>
          </cell>
          <cell r="CK8">
            <v>9</v>
          </cell>
          <cell r="CL8">
            <v>3476</v>
          </cell>
          <cell r="CM8">
            <v>2799.29972</v>
          </cell>
          <cell r="CN8">
            <v>628.99047599999994</v>
          </cell>
          <cell r="CO8">
            <v>166.497479</v>
          </cell>
          <cell r="CP8">
            <v>47.709803999999998</v>
          </cell>
          <cell r="CQ8">
            <v>17116.135574</v>
          </cell>
          <cell r="CR8">
            <v>15873.733333</v>
          </cell>
          <cell r="CS8">
            <v>1033.0633049999999</v>
          </cell>
          <cell r="CT8">
            <v>227.83865499999999</v>
          </cell>
          <cell r="CU8">
            <v>209.33893599999999</v>
          </cell>
          <cell r="CV8">
            <v>1200.5344540000001</v>
          </cell>
          <cell r="CW8">
            <v>15.578711</v>
          </cell>
          <cell r="CX8">
            <v>473.20336099999997</v>
          </cell>
          <cell r="CY8">
            <v>483.913725</v>
          </cell>
          <cell r="CZ8">
            <v>906</v>
          </cell>
          <cell r="DA8">
            <v>12</v>
          </cell>
          <cell r="DB8">
            <v>325</v>
          </cell>
          <cell r="DC8">
            <v>351</v>
          </cell>
          <cell r="DD8">
            <v>1070.0627449999999</v>
          </cell>
          <cell r="DE8">
            <v>1173.2717090000001</v>
          </cell>
          <cell r="DF8">
            <v>385.57310899999999</v>
          </cell>
          <cell r="DG8">
            <v>787.69859899999994</v>
          </cell>
          <cell r="DH8">
            <v>923</v>
          </cell>
          <cell r="DI8">
            <v>804</v>
          </cell>
          <cell r="DJ8">
            <v>879</v>
          </cell>
          <cell r="DK8">
            <v>320</v>
          </cell>
          <cell r="DL8">
            <v>559</v>
          </cell>
        </row>
        <row r="9">
          <cell r="A9" t="str">
            <v>37099</v>
          </cell>
          <cell r="B9" t="str">
            <v>Druye</v>
          </cell>
          <cell r="C9" t="str">
            <v>Tour(s)plus</v>
          </cell>
          <cell r="D9">
            <v>318.959476</v>
          </cell>
          <cell r="E9">
            <v>295.959476</v>
          </cell>
          <cell r="F9">
            <v>9</v>
          </cell>
          <cell r="G9">
            <v>14</v>
          </cell>
          <cell r="H9">
            <v>258</v>
          </cell>
          <cell r="I9">
            <v>236</v>
          </cell>
          <cell r="J9">
            <v>7</v>
          </cell>
          <cell r="K9">
            <v>15</v>
          </cell>
          <cell r="L9">
            <v>248</v>
          </cell>
          <cell r="M9">
            <v>219</v>
          </cell>
          <cell r="N9">
            <v>24</v>
          </cell>
          <cell r="O9">
            <v>5</v>
          </cell>
          <cell r="P9">
            <v>229</v>
          </cell>
          <cell r="Q9">
            <v>192</v>
          </cell>
          <cell r="R9">
            <v>23</v>
          </cell>
          <cell r="S9">
            <v>14</v>
          </cell>
          <cell r="T9">
            <v>198</v>
          </cell>
          <cell r="U9">
            <v>170</v>
          </cell>
          <cell r="V9">
            <v>14</v>
          </cell>
          <cell r="W9">
            <v>14</v>
          </cell>
          <cell r="X9">
            <v>176</v>
          </cell>
          <cell r="Y9">
            <v>153</v>
          </cell>
          <cell r="Z9">
            <v>8</v>
          </cell>
          <cell r="AA9">
            <v>15</v>
          </cell>
          <cell r="AB9">
            <v>312.14064400000001</v>
          </cell>
          <cell r="AC9">
            <v>4.8641240000000003</v>
          </cell>
          <cell r="AD9">
            <v>248</v>
          </cell>
          <cell r="AE9">
            <v>4</v>
          </cell>
          <cell r="AF9">
            <v>0</v>
          </cell>
          <cell r="AG9">
            <v>13.365912</v>
          </cell>
          <cell r="AH9">
            <v>42.961858999999997</v>
          </cell>
          <cell r="AI9">
            <v>70.648391000000004</v>
          </cell>
          <cell r="AJ9">
            <v>168.98331300000001</v>
          </cell>
          <cell r="AK9">
            <v>2</v>
          </cell>
          <cell r="AL9">
            <v>15</v>
          </cell>
          <cell r="AM9">
            <v>48</v>
          </cell>
          <cell r="AN9">
            <v>68</v>
          </cell>
          <cell r="AO9">
            <v>103</v>
          </cell>
          <cell r="AP9">
            <v>1425.379023</v>
          </cell>
          <cell r="AQ9">
            <v>292.14064400000001</v>
          </cell>
          <cell r="AR9">
            <v>1412.967819</v>
          </cell>
          <cell r="AS9">
            <v>2.8641239999999999</v>
          </cell>
          <cell r="AT9">
            <v>9.5470799999999993</v>
          </cell>
          <cell r="AU9">
            <v>1045</v>
          </cell>
          <cell r="AV9">
            <v>229</v>
          </cell>
          <cell r="AW9">
            <v>1028</v>
          </cell>
          <cell r="AX9">
            <v>2</v>
          </cell>
          <cell r="AY9">
            <v>6</v>
          </cell>
          <cell r="AZ9">
            <v>232.94874899999999</v>
          </cell>
          <cell r="BA9">
            <v>107.882002</v>
          </cell>
          <cell r="BB9">
            <v>33.414779000000003</v>
          </cell>
          <cell r="BC9">
            <v>56.327770999999998</v>
          </cell>
          <cell r="BD9">
            <v>35.324195000000003</v>
          </cell>
          <cell r="BE9">
            <v>106.927294</v>
          </cell>
          <cell r="BF9">
            <v>33.414779000000003</v>
          </cell>
          <cell r="BG9">
            <v>55.373063000000002</v>
          </cell>
          <cell r="BH9">
            <v>33.414779000000003</v>
          </cell>
          <cell r="BI9">
            <v>0</v>
          </cell>
          <cell r="BJ9">
            <v>0</v>
          </cell>
          <cell r="BK9">
            <v>0.954708</v>
          </cell>
          <cell r="BL9">
            <v>1.909416</v>
          </cell>
          <cell r="BM9">
            <v>295.959476</v>
          </cell>
          <cell r="BN9">
            <v>23.867699999999999</v>
          </cell>
          <cell r="BO9">
            <v>78.286055000000005</v>
          </cell>
          <cell r="BP9">
            <v>59.191895000000002</v>
          </cell>
          <cell r="BQ9">
            <v>134.61382599999999</v>
          </cell>
          <cell r="BR9">
            <v>50.599522999999998</v>
          </cell>
          <cell r="BS9">
            <v>38.188319</v>
          </cell>
          <cell r="BT9">
            <v>45.825983000000001</v>
          </cell>
          <cell r="BU9">
            <v>801</v>
          </cell>
          <cell r="BV9">
            <v>63.010727000000003</v>
          </cell>
          <cell r="BW9">
            <v>231.99404100000001</v>
          </cell>
          <cell r="BX9">
            <v>177.57568499999999</v>
          </cell>
          <cell r="BY9">
            <v>328.41954700000002</v>
          </cell>
          <cell r="BZ9">
            <v>106.927294</v>
          </cell>
          <cell r="CA9">
            <v>374.24552999999997</v>
          </cell>
          <cell r="CB9">
            <v>285.45768800000002</v>
          </cell>
          <cell r="CC9">
            <v>658.74851000000001</v>
          </cell>
          <cell r="CD9">
            <v>231.99404100000001</v>
          </cell>
          <cell r="CE9">
            <v>57.282479000000002</v>
          </cell>
          <cell r="CF9">
            <v>2.8641239999999999</v>
          </cell>
          <cell r="CG9">
            <v>6.6829559999999999</v>
          </cell>
          <cell r="CH9">
            <v>177</v>
          </cell>
          <cell r="CI9">
            <v>54</v>
          </cell>
          <cell r="CJ9">
            <v>0</v>
          </cell>
          <cell r="CK9">
            <v>5</v>
          </cell>
          <cell r="CL9">
            <v>801</v>
          </cell>
          <cell r="CM9">
            <v>641.56376599999999</v>
          </cell>
          <cell r="CN9">
            <v>142.25148999999999</v>
          </cell>
          <cell r="CO9">
            <v>5.7282479999999998</v>
          </cell>
          <cell r="CP9">
            <v>17.184743999999998</v>
          </cell>
          <cell r="CQ9">
            <v>4243.6769960000001</v>
          </cell>
          <cell r="CR9">
            <v>3815.0131110000002</v>
          </cell>
          <cell r="CS9">
            <v>283.548272</v>
          </cell>
          <cell r="CT9">
            <v>7.637664</v>
          </cell>
          <cell r="CU9">
            <v>145.11561399999999</v>
          </cell>
          <cell r="CV9">
            <v>287.36710399999998</v>
          </cell>
          <cell r="CW9">
            <v>0</v>
          </cell>
          <cell r="CX9">
            <v>162.30035799999999</v>
          </cell>
          <cell r="CY9">
            <v>81.150178999999994</v>
          </cell>
          <cell r="CZ9">
            <v>227</v>
          </cell>
          <cell r="DA9">
            <v>2</v>
          </cell>
          <cell r="DB9">
            <v>138</v>
          </cell>
          <cell r="DC9">
            <v>41</v>
          </cell>
          <cell r="DD9">
            <v>234.85816399999999</v>
          </cell>
          <cell r="DE9">
            <v>284.50297999999998</v>
          </cell>
          <cell r="DF9">
            <v>107.882002</v>
          </cell>
          <cell r="DG9">
            <v>176.62097700000001</v>
          </cell>
          <cell r="DH9">
            <v>236</v>
          </cell>
          <cell r="DI9">
            <v>175</v>
          </cell>
          <cell r="DJ9">
            <v>222</v>
          </cell>
          <cell r="DK9">
            <v>87</v>
          </cell>
          <cell r="DL9">
            <v>135</v>
          </cell>
        </row>
        <row r="10">
          <cell r="A10" t="str">
            <v>37104</v>
          </cell>
          <cell r="B10" t="str">
            <v>Esvres</v>
          </cell>
          <cell r="C10" t="str">
            <v>CC du Val de l'Indre</v>
          </cell>
          <cell r="D10">
            <v>1837.2291110000001</v>
          </cell>
          <cell r="E10">
            <v>1716</v>
          </cell>
          <cell r="F10">
            <v>59.604312999999998</v>
          </cell>
          <cell r="G10">
            <v>61.624797999999998</v>
          </cell>
          <cell r="H10">
            <v>1701</v>
          </cell>
          <cell r="I10">
            <v>1575</v>
          </cell>
          <cell r="J10">
            <v>84</v>
          </cell>
          <cell r="K10">
            <v>42</v>
          </cell>
          <cell r="L10">
            <v>1624</v>
          </cell>
          <cell r="M10">
            <v>1461</v>
          </cell>
          <cell r="N10">
            <v>102</v>
          </cell>
          <cell r="O10">
            <v>61</v>
          </cell>
          <cell r="P10">
            <v>1494</v>
          </cell>
          <cell r="Q10">
            <v>1309</v>
          </cell>
          <cell r="R10">
            <v>100</v>
          </cell>
          <cell r="S10">
            <v>85</v>
          </cell>
          <cell r="T10">
            <v>1194</v>
          </cell>
          <cell r="U10">
            <v>921</v>
          </cell>
          <cell r="V10">
            <v>145</v>
          </cell>
          <cell r="W10">
            <v>128</v>
          </cell>
          <cell r="X10">
            <v>876</v>
          </cell>
          <cell r="Y10">
            <v>763</v>
          </cell>
          <cell r="Z10">
            <v>89</v>
          </cell>
          <cell r="AA10">
            <v>24</v>
          </cell>
          <cell r="AB10">
            <v>1688.206966</v>
          </cell>
          <cell r="AC10">
            <v>142.98109199999999</v>
          </cell>
          <cell r="AD10">
            <v>1579</v>
          </cell>
          <cell r="AE10">
            <v>87</v>
          </cell>
          <cell r="AF10">
            <v>17.482332</v>
          </cell>
          <cell r="AG10">
            <v>93.419194000000005</v>
          </cell>
          <cell r="AH10">
            <v>260.94608499999998</v>
          </cell>
          <cell r="AI10">
            <v>445.32906200000002</v>
          </cell>
          <cell r="AJ10">
            <v>898.82332599999995</v>
          </cell>
          <cell r="AK10">
            <v>24</v>
          </cell>
          <cell r="AL10">
            <v>102</v>
          </cell>
          <cell r="AM10">
            <v>295</v>
          </cell>
          <cell r="AN10">
            <v>466</v>
          </cell>
          <cell r="AO10">
            <v>688</v>
          </cell>
          <cell r="AP10">
            <v>8032.3507719999998</v>
          </cell>
          <cell r="AQ10">
            <v>1578.090524</v>
          </cell>
          <cell r="AR10">
            <v>7581.9280390000004</v>
          </cell>
          <cell r="AS10">
            <v>132.87866600000001</v>
          </cell>
          <cell r="AT10">
            <v>430.32669700000002</v>
          </cell>
          <cell r="AU10">
            <v>6947</v>
          </cell>
          <cell r="AV10">
            <v>1462</v>
          </cell>
          <cell r="AW10">
            <v>6546</v>
          </cell>
          <cell r="AX10">
            <v>84</v>
          </cell>
          <cell r="AY10">
            <v>302</v>
          </cell>
          <cell r="AZ10">
            <v>1700.906111</v>
          </cell>
          <cell r="BA10">
            <v>498.77979800000003</v>
          </cell>
          <cell r="BB10">
            <v>392.32376299999999</v>
          </cell>
          <cell r="BC10">
            <v>577.398233</v>
          </cell>
          <cell r="BD10">
            <v>232.40431599999999</v>
          </cell>
          <cell r="BE10">
            <v>465.02460500000001</v>
          </cell>
          <cell r="BF10">
            <v>372.04942299999999</v>
          </cell>
          <cell r="BG10">
            <v>510.890693</v>
          </cell>
          <cell r="BH10">
            <v>216.02189799999999</v>
          </cell>
          <cell r="BI10">
            <v>33.755192999999998</v>
          </cell>
          <cell r="BJ10">
            <v>19.270934</v>
          </cell>
          <cell r="BK10">
            <v>63.470118999999997</v>
          </cell>
          <cell r="BL10">
            <v>16.382418999999999</v>
          </cell>
          <cell r="BM10">
            <v>1716</v>
          </cell>
          <cell r="BN10">
            <v>131.46601999999999</v>
          </cell>
          <cell r="BO10">
            <v>284.95475099999999</v>
          </cell>
          <cell r="BP10">
            <v>291.15400199999999</v>
          </cell>
          <cell r="BQ10">
            <v>1008.4252269999999</v>
          </cell>
          <cell r="BR10">
            <v>347.83074199999999</v>
          </cell>
          <cell r="BS10">
            <v>331.45227799999998</v>
          </cell>
          <cell r="BT10">
            <v>329.14220799999998</v>
          </cell>
          <cell r="BU10">
            <v>4295</v>
          </cell>
          <cell r="BV10">
            <v>316.64864599999999</v>
          </cell>
          <cell r="BW10">
            <v>777.89688999999998</v>
          </cell>
          <cell r="BX10">
            <v>857.75906999999995</v>
          </cell>
          <cell r="BY10">
            <v>2342.6953950000002</v>
          </cell>
          <cell r="BZ10">
            <v>543.14596900000004</v>
          </cell>
          <cell r="CA10">
            <v>1230.7300849999999</v>
          </cell>
          <cell r="CB10">
            <v>1399.549217</v>
          </cell>
          <cell r="CC10">
            <v>4858.9255009999997</v>
          </cell>
          <cell r="CD10">
            <v>1320.3390629999999</v>
          </cell>
          <cell r="CE10">
            <v>369.17517099999998</v>
          </cell>
          <cell r="CF10">
            <v>175.63875400000001</v>
          </cell>
          <cell r="CG10">
            <v>26.485766999999999</v>
          </cell>
          <cell r="CH10">
            <v>1184</v>
          </cell>
          <cell r="CI10">
            <v>352</v>
          </cell>
          <cell r="CJ10">
            <v>163</v>
          </cell>
          <cell r="CK10">
            <v>39</v>
          </cell>
          <cell r="CL10">
            <v>4295</v>
          </cell>
          <cell r="CM10">
            <v>3435.5421249999999</v>
          </cell>
          <cell r="CN10">
            <v>809.905754</v>
          </cell>
          <cell r="CO10">
            <v>371.973208</v>
          </cell>
          <cell r="CP10">
            <v>49.552121</v>
          </cell>
          <cell r="CQ10">
            <v>28865.295114</v>
          </cell>
          <cell r="CR10">
            <v>25255.822068000001</v>
          </cell>
          <cell r="CS10">
            <v>3308.9766249999998</v>
          </cell>
          <cell r="CT10">
            <v>2301.3364369999999</v>
          </cell>
          <cell r="CU10">
            <v>300.49642</v>
          </cell>
          <cell r="CV10">
            <v>1680.4953820000001</v>
          </cell>
          <cell r="CW10">
            <v>12.177984</v>
          </cell>
          <cell r="CX10">
            <v>915.40222300000005</v>
          </cell>
          <cell r="CY10">
            <v>546.77900199999999</v>
          </cell>
          <cell r="CZ10">
            <v>1510</v>
          </cell>
          <cell r="DA10">
            <v>30</v>
          </cell>
          <cell r="DB10">
            <v>771</v>
          </cell>
          <cell r="DC10">
            <v>454</v>
          </cell>
          <cell r="DD10">
            <v>1385.034979</v>
          </cell>
          <cell r="DE10">
            <v>1568.251064</v>
          </cell>
          <cell r="DF10">
            <v>616.31129699999997</v>
          </cell>
          <cell r="DG10">
            <v>951.93976699999996</v>
          </cell>
          <cell r="DH10">
            <v>1575</v>
          </cell>
          <cell r="DI10">
            <v>1199</v>
          </cell>
          <cell r="DJ10">
            <v>1440</v>
          </cell>
          <cell r="DK10">
            <v>619</v>
          </cell>
          <cell r="DL10">
            <v>821</v>
          </cell>
        </row>
        <row r="11">
          <cell r="A11" t="str">
            <v>37109</v>
          </cell>
          <cell r="B11" t="str">
            <v>Fondettes</v>
          </cell>
          <cell r="C11" t="str">
            <v>Tour(s)plus</v>
          </cell>
          <cell r="D11">
            <v>3898.3138250000002</v>
          </cell>
          <cell r="E11">
            <v>3703.3138250000002</v>
          </cell>
          <cell r="F11">
            <v>82.421875</v>
          </cell>
          <cell r="G11">
            <v>112.578125</v>
          </cell>
          <cell r="H11">
            <v>3324</v>
          </cell>
          <cell r="I11">
            <v>3127</v>
          </cell>
          <cell r="J11">
            <v>80</v>
          </cell>
          <cell r="K11">
            <v>117</v>
          </cell>
          <cell r="L11">
            <v>2637</v>
          </cell>
          <cell r="M11">
            <v>2424</v>
          </cell>
          <cell r="N11">
            <v>98</v>
          </cell>
          <cell r="O11">
            <v>115</v>
          </cell>
          <cell r="P11">
            <v>2182</v>
          </cell>
          <cell r="Q11">
            <v>1945</v>
          </cell>
          <cell r="R11">
            <v>122</v>
          </cell>
          <cell r="S11">
            <v>115</v>
          </cell>
          <cell r="T11">
            <v>1684</v>
          </cell>
          <cell r="U11">
            <v>1475</v>
          </cell>
          <cell r="V11">
            <v>112</v>
          </cell>
          <cell r="W11">
            <v>97</v>
          </cell>
          <cell r="X11">
            <v>1251</v>
          </cell>
          <cell r="Y11">
            <v>1064</v>
          </cell>
          <cell r="Z11">
            <v>123</v>
          </cell>
          <cell r="AA11">
            <v>64</v>
          </cell>
          <cell r="AB11">
            <v>3523.3073680000002</v>
          </cell>
          <cell r="AC11">
            <v>347.24134199999997</v>
          </cell>
          <cell r="AD11">
            <v>3028</v>
          </cell>
          <cell r="AE11">
            <v>240</v>
          </cell>
          <cell r="AF11">
            <v>48.439335</v>
          </cell>
          <cell r="AG11">
            <v>213.423328</v>
          </cell>
          <cell r="AH11">
            <v>444.631933</v>
          </cell>
          <cell r="AI11">
            <v>747.96971900000005</v>
          </cell>
          <cell r="AJ11">
            <v>2248.8495109999999</v>
          </cell>
          <cell r="AK11">
            <v>61</v>
          </cell>
          <cell r="AL11">
            <v>168</v>
          </cell>
          <cell r="AM11">
            <v>397</v>
          </cell>
          <cell r="AN11">
            <v>824</v>
          </cell>
          <cell r="AO11">
            <v>1677</v>
          </cell>
          <cell r="AP11">
            <v>18365.298837999999</v>
          </cell>
          <cell r="AQ11">
            <v>3358.4532009999998</v>
          </cell>
          <cell r="AR11">
            <v>17447.357055</v>
          </cell>
          <cell r="AS11">
            <v>322.11113399999999</v>
          </cell>
          <cell r="AT11">
            <v>865.550163</v>
          </cell>
          <cell r="AU11">
            <v>14768</v>
          </cell>
          <cell r="AV11">
            <v>2860</v>
          </cell>
          <cell r="AW11">
            <v>13980</v>
          </cell>
          <cell r="AX11">
            <v>218</v>
          </cell>
          <cell r="AY11">
            <v>687</v>
          </cell>
          <cell r="AZ11">
            <v>3455.3080140000002</v>
          </cell>
          <cell r="BA11">
            <v>651.16262200000006</v>
          </cell>
          <cell r="BB11">
            <v>683.74510599999996</v>
          </cell>
          <cell r="BC11">
            <v>1028.581872</v>
          </cell>
          <cell r="BD11">
            <v>1091.8184140000001</v>
          </cell>
          <cell r="BE11">
            <v>618.53242299999999</v>
          </cell>
          <cell r="BF11">
            <v>649.16262200000006</v>
          </cell>
          <cell r="BG11">
            <v>957.44076299999995</v>
          </cell>
          <cell r="BH11">
            <v>954.47654999999997</v>
          </cell>
          <cell r="BI11">
            <v>27.665987000000001</v>
          </cell>
          <cell r="BJ11">
            <v>28.654057999999999</v>
          </cell>
          <cell r="BK11">
            <v>66.200754000000003</v>
          </cell>
          <cell r="BL11">
            <v>131.41343800000001</v>
          </cell>
          <cell r="BM11">
            <v>3703.3138250000002</v>
          </cell>
          <cell r="BN11">
            <v>351.77712100000002</v>
          </cell>
          <cell r="BO11">
            <v>676.82860900000003</v>
          </cell>
          <cell r="BP11">
            <v>736.11286700000005</v>
          </cell>
          <cell r="BQ11">
            <v>1938.5952279999999</v>
          </cell>
          <cell r="BR11">
            <v>828.003467</v>
          </cell>
          <cell r="BS11">
            <v>561.22430699999995</v>
          </cell>
          <cell r="BT11">
            <v>549.36745499999995</v>
          </cell>
          <cell r="BU11">
            <v>9693</v>
          </cell>
          <cell r="BV11">
            <v>946.59583999999995</v>
          </cell>
          <cell r="BW11">
            <v>1862.513764</v>
          </cell>
          <cell r="BX11">
            <v>2240.944943</v>
          </cell>
          <cell r="BY11">
            <v>4642.9454530000003</v>
          </cell>
          <cell r="BZ11">
            <v>1541.4145599999999</v>
          </cell>
          <cell r="CA11">
            <v>3150.9582989999999</v>
          </cell>
          <cell r="CB11">
            <v>3811.9777730000001</v>
          </cell>
          <cell r="CC11">
            <v>9860.9482059999991</v>
          </cell>
          <cell r="CD11">
            <v>2937.534971</v>
          </cell>
          <cell r="CE11">
            <v>709.45880899999997</v>
          </cell>
          <cell r="CF11">
            <v>225.280179</v>
          </cell>
          <cell r="CG11">
            <v>56.320045</v>
          </cell>
          <cell r="CH11">
            <v>2544</v>
          </cell>
          <cell r="CI11">
            <v>498</v>
          </cell>
          <cell r="CJ11">
            <v>195</v>
          </cell>
          <cell r="CK11">
            <v>85</v>
          </cell>
          <cell r="CL11">
            <v>9693</v>
          </cell>
          <cell r="CM11">
            <v>7938.1621130000003</v>
          </cell>
          <cell r="CN11">
            <v>1634.29323</v>
          </cell>
          <cell r="CO11">
            <v>507.86847499999999</v>
          </cell>
          <cell r="CP11">
            <v>120.544657</v>
          </cell>
          <cell r="CQ11">
            <v>53136.504077999998</v>
          </cell>
          <cell r="CR11">
            <v>48835.407320999999</v>
          </cell>
          <cell r="CS11">
            <v>3673.6716970000002</v>
          </cell>
          <cell r="CT11">
            <v>1532.498063</v>
          </cell>
          <cell r="CU11">
            <v>627.42506100000003</v>
          </cell>
          <cell r="CV11">
            <v>3657.8625609999999</v>
          </cell>
          <cell r="CW11">
            <v>49.427405999999998</v>
          </cell>
          <cell r="CX11">
            <v>2012.7005509999999</v>
          </cell>
          <cell r="CY11">
            <v>1238.0529160000001</v>
          </cell>
          <cell r="CZ11">
            <v>3064</v>
          </cell>
          <cell r="DA11">
            <v>52</v>
          </cell>
          <cell r="DB11">
            <v>1665</v>
          </cell>
          <cell r="DC11">
            <v>995</v>
          </cell>
          <cell r="DD11">
            <v>3248.777325</v>
          </cell>
          <cell r="DE11">
            <v>3459.2364400000001</v>
          </cell>
          <cell r="DF11">
            <v>1381.323206</v>
          </cell>
          <cell r="DG11">
            <v>2077.9132340000001</v>
          </cell>
          <cell r="DH11">
            <v>3127</v>
          </cell>
          <cell r="DI11">
            <v>2643</v>
          </cell>
          <cell r="DJ11">
            <v>2925</v>
          </cell>
          <cell r="DK11">
            <v>1217</v>
          </cell>
          <cell r="DL11">
            <v>1708</v>
          </cell>
        </row>
        <row r="12">
          <cell r="A12" t="str">
            <v>37122</v>
          </cell>
          <cell r="B12" t="str">
            <v>Joué-lès-Tours</v>
          </cell>
          <cell r="C12" t="str">
            <v>Tour(s)plus</v>
          </cell>
          <cell r="D12">
            <v>16755</v>
          </cell>
          <cell r="E12">
            <v>15909.154151999999</v>
          </cell>
          <cell r="F12">
            <v>104.353354</v>
          </cell>
          <cell r="G12">
            <v>741.49249399999997</v>
          </cell>
          <cell r="H12">
            <v>15815</v>
          </cell>
          <cell r="I12">
            <v>14640</v>
          </cell>
          <cell r="J12">
            <v>191</v>
          </cell>
          <cell r="K12">
            <v>984</v>
          </cell>
          <cell r="L12">
            <v>13796</v>
          </cell>
          <cell r="M12">
            <v>13077</v>
          </cell>
          <cell r="N12">
            <v>224</v>
          </cell>
          <cell r="O12">
            <v>495</v>
          </cell>
          <cell r="P12">
            <v>12275</v>
          </cell>
          <cell r="Q12">
            <v>11327</v>
          </cell>
          <cell r="R12">
            <v>181</v>
          </cell>
          <cell r="S12">
            <v>767</v>
          </cell>
          <cell r="T12">
            <v>9028</v>
          </cell>
          <cell r="U12">
            <v>8204</v>
          </cell>
          <cell r="V12">
            <v>76</v>
          </cell>
          <cell r="W12">
            <v>748</v>
          </cell>
          <cell r="X12">
            <v>5405</v>
          </cell>
          <cell r="Y12">
            <v>5014</v>
          </cell>
          <cell r="Z12">
            <v>97</v>
          </cell>
          <cell r="AA12">
            <v>294</v>
          </cell>
          <cell r="AB12">
            <v>7649.1187529999997</v>
          </cell>
          <cell r="AC12">
            <v>9008.3505889999997</v>
          </cell>
          <cell r="AD12">
            <v>6997</v>
          </cell>
          <cell r="AE12">
            <v>8492</v>
          </cell>
          <cell r="AF12">
            <v>1035.421963</v>
          </cell>
          <cell r="AG12">
            <v>1832.6692660000001</v>
          </cell>
          <cell r="AH12">
            <v>3314.999742</v>
          </cell>
          <cell r="AI12">
            <v>4709.5349109999997</v>
          </cell>
          <cell r="AJ12">
            <v>5016.5282699999998</v>
          </cell>
          <cell r="AK12">
            <v>1149</v>
          </cell>
          <cell r="AL12">
            <v>1572</v>
          </cell>
          <cell r="AM12">
            <v>3104</v>
          </cell>
          <cell r="AN12">
            <v>4575</v>
          </cell>
          <cell r="AO12">
            <v>4240</v>
          </cell>
          <cell r="AP12">
            <v>61899.224023000002</v>
          </cell>
          <cell r="AQ12">
            <v>7391.5476749999998</v>
          </cell>
          <cell r="AR12">
            <v>35573.491350999997</v>
          </cell>
          <cell r="AS12">
            <v>8444.7447119999997</v>
          </cell>
          <cell r="AT12">
            <v>26192.688956999998</v>
          </cell>
          <cell r="AU12">
            <v>55550</v>
          </cell>
          <cell r="AV12">
            <v>6768</v>
          </cell>
          <cell r="AW12">
            <v>31902</v>
          </cell>
          <cell r="AX12">
            <v>7580</v>
          </cell>
          <cell r="AY12">
            <v>23113</v>
          </cell>
          <cell r="AZ12">
            <v>15746.998387</v>
          </cell>
          <cell r="BA12">
            <v>781.51146600000004</v>
          </cell>
          <cell r="BB12">
            <v>6980.9679480000004</v>
          </cell>
          <cell r="BC12">
            <v>5530.3818300000003</v>
          </cell>
          <cell r="BD12">
            <v>2454.1371429999999</v>
          </cell>
          <cell r="BE12">
            <v>705.74380599999995</v>
          </cell>
          <cell r="BF12">
            <v>2120.4272000000001</v>
          </cell>
          <cell r="BG12">
            <v>3466.9916560000001</v>
          </cell>
          <cell r="BH12">
            <v>1014.110475</v>
          </cell>
          <cell r="BI12">
            <v>71.633662999999999</v>
          </cell>
          <cell r="BJ12">
            <v>4801.5906500000001</v>
          </cell>
          <cell r="BK12">
            <v>2056.9058500000001</v>
          </cell>
          <cell r="BL12">
            <v>1436.7333209999999</v>
          </cell>
          <cell r="BM12">
            <v>15909.154151999999</v>
          </cell>
          <cell r="BN12">
            <v>2191.143971</v>
          </cell>
          <cell r="BO12">
            <v>3428.1066500000002</v>
          </cell>
          <cell r="BP12">
            <v>2964.1763329999999</v>
          </cell>
          <cell r="BQ12">
            <v>7325.7271979999996</v>
          </cell>
          <cell r="BR12">
            <v>2771.0670009999999</v>
          </cell>
          <cell r="BS12">
            <v>2785.502763</v>
          </cell>
          <cell r="BT12">
            <v>1769.157434</v>
          </cell>
          <cell r="BU12">
            <v>35397.618410000003</v>
          </cell>
          <cell r="BV12">
            <v>4242.7493990000003</v>
          </cell>
          <cell r="BW12">
            <v>7883.9349689999999</v>
          </cell>
          <cell r="BX12">
            <v>7626.9359899999999</v>
          </cell>
          <cell r="BY12">
            <v>15643.998052000001</v>
          </cell>
          <cell r="BZ12">
            <v>6512.1510900000003</v>
          </cell>
          <cell r="CA12">
            <v>11733.908602</v>
          </cell>
          <cell r="CB12">
            <v>11812.060056</v>
          </cell>
          <cell r="CC12">
            <v>31841.104274000001</v>
          </cell>
          <cell r="CD12">
            <v>8369.716934</v>
          </cell>
          <cell r="CE12">
            <v>7281.4505319999998</v>
          </cell>
          <cell r="CF12">
            <v>3983.0430190000002</v>
          </cell>
          <cell r="CG12">
            <v>257.98668600000002</v>
          </cell>
          <cell r="CH12">
            <v>7441</v>
          </cell>
          <cell r="CI12">
            <v>6799</v>
          </cell>
          <cell r="CJ12">
            <v>3870</v>
          </cell>
          <cell r="CK12">
            <v>400</v>
          </cell>
          <cell r="CL12">
            <v>35397.618410000003</v>
          </cell>
          <cell r="CM12">
            <v>19578.036032</v>
          </cell>
          <cell r="CN12">
            <v>15296.425949</v>
          </cell>
          <cell r="CO12">
            <v>9316.4910159999999</v>
          </cell>
          <cell r="CP12">
            <v>523.156429</v>
          </cell>
          <cell r="CQ12">
            <v>204758.34260199999</v>
          </cell>
          <cell r="CR12">
            <v>148506.63581400001</v>
          </cell>
          <cell r="CS12">
            <v>54161.042823000003</v>
          </cell>
          <cell r="CT12">
            <v>39558.326405</v>
          </cell>
          <cell r="CU12">
            <v>2090.6639639999999</v>
          </cell>
          <cell r="CV12">
            <v>15563.815399999999</v>
          </cell>
          <cell r="CW12">
            <v>6643.9936580000003</v>
          </cell>
          <cell r="CX12">
            <v>5857.80339</v>
          </cell>
          <cell r="CY12">
            <v>2914.358514</v>
          </cell>
          <cell r="CZ12">
            <v>14407</v>
          </cell>
          <cell r="DA12">
            <v>6233</v>
          </cell>
          <cell r="DB12">
            <v>5470</v>
          </cell>
          <cell r="DC12">
            <v>2269</v>
          </cell>
          <cell r="DD12">
            <v>9366.5074540000005</v>
          </cell>
          <cell r="DE12">
            <v>13417.921926999999</v>
          </cell>
          <cell r="DF12">
            <v>8266.8510249999999</v>
          </cell>
          <cell r="DG12">
            <v>5151.0709020000004</v>
          </cell>
          <cell r="DH12">
            <v>14640</v>
          </cell>
          <cell r="DI12">
            <v>8657</v>
          </cell>
          <cell r="DJ12">
            <v>12281</v>
          </cell>
          <cell r="DK12">
            <v>7737</v>
          </cell>
          <cell r="DL12">
            <v>4544</v>
          </cell>
        </row>
        <row r="13">
          <cell r="A13" t="str">
            <v>37124</v>
          </cell>
          <cell r="B13" t="str">
            <v>Larçay</v>
          </cell>
          <cell r="C13" t="str">
            <v>CC de l'Est Tourangeau</v>
          </cell>
          <cell r="D13">
            <v>931.98704699999996</v>
          </cell>
          <cell r="E13">
            <v>872.98704699999996</v>
          </cell>
          <cell r="F13">
            <v>31</v>
          </cell>
          <cell r="G13">
            <v>28</v>
          </cell>
          <cell r="H13">
            <v>770</v>
          </cell>
          <cell r="I13">
            <v>714</v>
          </cell>
          <cell r="J13">
            <v>27</v>
          </cell>
          <cell r="K13">
            <v>29</v>
          </cell>
          <cell r="L13">
            <v>615</v>
          </cell>
          <cell r="M13">
            <v>557</v>
          </cell>
          <cell r="N13">
            <v>36</v>
          </cell>
          <cell r="O13">
            <v>22</v>
          </cell>
          <cell r="P13">
            <v>500</v>
          </cell>
          <cell r="Q13">
            <v>444</v>
          </cell>
          <cell r="R13">
            <v>29</v>
          </cell>
          <cell r="S13">
            <v>27</v>
          </cell>
          <cell r="T13">
            <v>370</v>
          </cell>
          <cell r="U13">
            <v>299</v>
          </cell>
          <cell r="V13">
            <v>49</v>
          </cell>
          <cell r="W13">
            <v>22</v>
          </cell>
          <cell r="X13">
            <v>288</v>
          </cell>
          <cell r="Y13">
            <v>232</v>
          </cell>
          <cell r="Z13">
            <v>41</v>
          </cell>
          <cell r="AA13">
            <v>15</v>
          </cell>
          <cell r="AB13">
            <v>895.97754699999996</v>
          </cell>
          <cell r="AC13">
            <v>32.116579999999999</v>
          </cell>
          <cell r="AD13">
            <v>721</v>
          </cell>
          <cell r="AE13">
            <v>40</v>
          </cell>
          <cell r="AF13">
            <v>4.8661490000000001</v>
          </cell>
          <cell r="AG13">
            <v>30.170121000000002</v>
          </cell>
          <cell r="AH13">
            <v>87.590674000000007</v>
          </cell>
          <cell r="AI13">
            <v>192.69948199999999</v>
          </cell>
          <cell r="AJ13">
            <v>557.66062199999999</v>
          </cell>
          <cell r="AK13">
            <v>7</v>
          </cell>
          <cell r="AL13">
            <v>28</v>
          </cell>
          <cell r="AM13">
            <v>99</v>
          </cell>
          <cell r="AN13">
            <v>207</v>
          </cell>
          <cell r="AO13">
            <v>373</v>
          </cell>
          <cell r="AP13">
            <v>4378.5604489999996</v>
          </cell>
          <cell r="AQ13">
            <v>836.97754699999996</v>
          </cell>
          <cell r="AR13">
            <v>4270.5319520000003</v>
          </cell>
          <cell r="AS13">
            <v>32.116579999999999</v>
          </cell>
          <cell r="AT13">
            <v>95.376510999999994</v>
          </cell>
          <cell r="AU13">
            <v>3402</v>
          </cell>
          <cell r="AV13">
            <v>672</v>
          </cell>
          <cell r="AW13">
            <v>3250</v>
          </cell>
          <cell r="AX13">
            <v>35</v>
          </cell>
          <cell r="AY13">
            <v>129</v>
          </cell>
          <cell r="AZ13">
            <v>782.47668399999998</v>
          </cell>
          <cell r="BA13">
            <v>132.35924</v>
          </cell>
          <cell r="BB13">
            <v>109.001727</v>
          </cell>
          <cell r="BC13">
            <v>289.04922299999998</v>
          </cell>
          <cell r="BD13">
            <v>252.06649400000001</v>
          </cell>
          <cell r="BE13">
            <v>124.573402</v>
          </cell>
          <cell r="BF13">
            <v>105.108808</v>
          </cell>
          <cell r="BG13">
            <v>287.10276299999998</v>
          </cell>
          <cell r="BH13">
            <v>236.49481900000001</v>
          </cell>
          <cell r="BI13">
            <v>4.8661490000000001</v>
          </cell>
          <cell r="BJ13">
            <v>2.919689</v>
          </cell>
          <cell r="BK13">
            <v>1.9464589999999999</v>
          </cell>
          <cell r="BL13">
            <v>15.571675000000001</v>
          </cell>
          <cell r="BM13">
            <v>872.98704699999996</v>
          </cell>
          <cell r="BN13">
            <v>82.724525</v>
          </cell>
          <cell r="BO13">
            <v>134.305699</v>
          </cell>
          <cell r="BP13">
            <v>163.502591</v>
          </cell>
          <cell r="BQ13">
            <v>492.45423099999999</v>
          </cell>
          <cell r="BR13">
            <v>180.047496</v>
          </cell>
          <cell r="BS13">
            <v>158.63644199999999</v>
          </cell>
          <cell r="BT13">
            <v>153.77029400000001</v>
          </cell>
          <cell r="BU13">
            <v>2254</v>
          </cell>
          <cell r="BV13">
            <v>222.86960300000001</v>
          </cell>
          <cell r="BW13">
            <v>381.50604499999997</v>
          </cell>
          <cell r="BX13">
            <v>523.59758199999999</v>
          </cell>
          <cell r="BY13">
            <v>1126.0267699999999</v>
          </cell>
          <cell r="BZ13">
            <v>380.53281500000003</v>
          </cell>
          <cell r="CA13">
            <v>646.22452499999997</v>
          </cell>
          <cell r="CB13">
            <v>842.81692599999997</v>
          </cell>
          <cell r="CC13">
            <v>2508.986183</v>
          </cell>
          <cell r="CD13">
            <v>717.27029400000004</v>
          </cell>
          <cell r="CE13">
            <v>143.06476699999999</v>
          </cell>
          <cell r="CF13">
            <v>61.313471999999997</v>
          </cell>
          <cell r="CG13">
            <v>12.651986000000001</v>
          </cell>
          <cell r="CH13">
            <v>583</v>
          </cell>
          <cell r="CI13">
            <v>119</v>
          </cell>
          <cell r="CJ13">
            <v>30</v>
          </cell>
          <cell r="CK13">
            <v>12</v>
          </cell>
          <cell r="CL13">
            <v>2254</v>
          </cell>
          <cell r="CM13">
            <v>1873.467185</v>
          </cell>
          <cell r="CN13">
            <v>359.12176199999999</v>
          </cell>
          <cell r="CO13">
            <v>143.06476699999999</v>
          </cell>
          <cell r="CP13">
            <v>21.411054</v>
          </cell>
          <cell r="CQ13">
            <v>13885.068221</v>
          </cell>
          <cell r="CR13">
            <v>12703.567358</v>
          </cell>
          <cell r="CS13">
            <v>935.27374799999996</v>
          </cell>
          <cell r="CT13">
            <v>432.11399</v>
          </cell>
          <cell r="CU13">
            <v>246.227116</v>
          </cell>
          <cell r="CV13">
            <v>856.44214199999999</v>
          </cell>
          <cell r="CW13">
            <v>0.97323000000000004</v>
          </cell>
          <cell r="CX13">
            <v>436.98013800000001</v>
          </cell>
          <cell r="CY13">
            <v>333.817789</v>
          </cell>
          <cell r="CZ13">
            <v>703</v>
          </cell>
          <cell r="DA13">
            <v>1</v>
          </cell>
          <cell r="DB13">
            <v>342</v>
          </cell>
          <cell r="DC13">
            <v>248</v>
          </cell>
          <cell r="DD13">
            <v>780.53022499999997</v>
          </cell>
          <cell r="DE13">
            <v>840.87046599999996</v>
          </cell>
          <cell r="DF13">
            <v>301.70120900000001</v>
          </cell>
          <cell r="DG13">
            <v>539.16925700000002</v>
          </cell>
          <cell r="DH13">
            <v>714</v>
          </cell>
          <cell r="DI13">
            <v>658</v>
          </cell>
          <cell r="DJ13">
            <v>679</v>
          </cell>
          <cell r="DK13">
            <v>233</v>
          </cell>
          <cell r="DL13">
            <v>446</v>
          </cell>
        </row>
        <row r="14">
          <cell r="A14" t="str">
            <v>37139</v>
          </cell>
          <cell r="B14" t="str">
            <v>Luynes</v>
          </cell>
          <cell r="C14" t="str">
            <v>Tour(s)plus</v>
          </cell>
          <cell r="D14">
            <v>1931.290422</v>
          </cell>
          <cell r="E14">
            <v>1790</v>
          </cell>
          <cell r="F14">
            <v>48.790937</v>
          </cell>
          <cell r="G14">
            <v>92.499485000000007</v>
          </cell>
          <cell r="H14">
            <v>1753</v>
          </cell>
          <cell r="I14">
            <v>1583</v>
          </cell>
          <cell r="J14">
            <v>62</v>
          </cell>
          <cell r="K14">
            <v>108</v>
          </cell>
          <cell r="L14">
            <v>1505</v>
          </cell>
          <cell r="M14">
            <v>1330</v>
          </cell>
          <cell r="N14">
            <v>85</v>
          </cell>
          <cell r="O14">
            <v>90</v>
          </cell>
          <cell r="P14">
            <v>1331</v>
          </cell>
          <cell r="Q14">
            <v>1177</v>
          </cell>
          <cell r="R14">
            <v>66</v>
          </cell>
          <cell r="S14">
            <v>88</v>
          </cell>
          <cell r="T14">
            <v>901</v>
          </cell>
          <cell r="U14">
            <v>757</v>
          </cell>
          <cell r="V14">
            <v>92</v>
          </cell>
          <cell r="W14">
            <v>52</v>
          </cell>
          <cell r="X14">
            <v>657</v>
          </cell>
          <cell r="Y14">
            <v>535</v>
          </cell>
          <cell r="Z14">
            <v>85</v>
          </cell>
          <cell r="AA14">
            <v>37</v>
          </cell>
          <cell r="AB14">
            <v>1614.911122</v>
          </cell>
          <cell r="AC14">
            <v>309.24057599999998</v>
          </cell>
          <cell r="AD14">
            <v>1428</v>
          </cell>
          <cell r="AE14">
            <v>304</v>
          </cell>
          <cell r="AF14">
            <v>24.628039000000001</v>
          </cell>
          <cell r="AG14">
            <v>109.615706</v>
          </cell>
          <cell r="AH14">
            <v>256.21872100000002</v>
          </cell>
          <cell r="AI14">
            <v>482.40635900000001</v>
          </cell>
          <cell r="AJ14">
            <v>917.13117499999998</v>
          </cell>
          <cell r="AK14">
            <v>40</v>
          </cell>
          <cell r="AL14">
            <v>130</v>
          </cell>
          <cell r="AM14">
            <v>284</v>
          </cell>
          <cell r="AN14">
            <v>459</v>
          </cell>
          <cell r="AO14">
            <v>670</v>
          </cell>
          <cell r="AP14">
            <v>8368.3633300000001</v>
          </cell>
          <cell r="AQ14">
            <v>1500.049125</v>
          </cell>
          <cell r="AR14">
            <v>7464.808704</v>
          </cell>
          <cell r="AS14">
            <v>283.82862899999998</v>
          </cell>
          <cell r="AT14">
            <v>879.05929100000003</v>
          </cell>
          <cell r="AU14">
            <v>6848</v>
          </cell>
          <cell r="AV14">
            <v>1280</v>
          </cell>
          <cell r="AW14">
            <v>5955</v>
          </cell>
          <cell r="AX14">
            <v>282</v>
          </cell>
          <cell r="AY14">
            <v>828</v>
          </cell>
          <cell r="AZ14">
            <v>1790</v>
          </cell>
          <cell r="BA14">
            <v>435.60444200000001</v>
          </cell>
          <cell r="BB14">
            <v>296.177571</v>
          </cell>
          <cell r="BC14">
            <v>642.93973800000003</v>
          </cell>
          <cell r="BD14">
            <v>415.27824900000002</v>
          </cell>
          <cell r="BE14">
            <v>394.72611999999998</v>
          </cell>
          <cell r="BF14">
            <v>256.42094700000001</v>
          </cell>
          <cell r="BG14">
            <v>467.35283500000003</v>
          </cell>
          <cell r="BH14">
            <v>381.54922299999998</v>
          </cell>
          <cell r="BI14">
            <v>35.782774000000003</v>
          </cell>
          <cell r="BJ14">
            <v>39.756622999999998</v>
          </cell>
          <cell r="BK14">
            <v>175.58690300000001</v>
          </cell>
          <cell r="BL14">
            <v>32.702328999999999</v>
          </cell>
          <cell r="BM14">
            <v>1790</v>
          </cell>
          <cell r="BN14">
            <v>201.47242199999999</v>
          </cell>
          <cell r="BO14">
            <v>356.12178999999998</v>
          </cell>
          <cell r="BP14">
            <v>426.67358000000002</v>
          </cell>
          <cell r="BQ14">
            <v>805.73220800000001</v>
          </cell>
          <cell r="BR14">
            <v>299.61282199999999</v>
          </cell>
          <cell r="BS14">
            <v>313.96920599999999</v>
          </cell>
          <cell r="BT14">
            <v>192.15018000000001</v>
          </cell>
          <cell r="BU14">
            <v>4670</v>
          </cell>
          <cell r="BV14">
            <v>491.57215100000002</v>
          </cell>
          <cell r="BW14">
            <v>1035.124826</v>
          </cell>
          <cell r="BX14">
            <v>1315.740939</v>
          </cell>
          <cell r="BY14">
            <v>1827.5620839999999</v>
          </cell>
          <cell r="BZ14">
            <v>836.90387999999996</v>
          </cell>
          <cell r="CA14">
            <v>1626.0557100000001</v>
          </cell>
          <cell r="CB14">
            <v>2056.5714400000002</v>
          </cell>
          <cell r="CC14">
            <v>3848.8323</v>
          </cell>
          <cell r="CD14">
            <v>1281.8019979999999</v>
          </cell>
          <cell r="CE14">
            <v>470.44417600000003</v>
          </cell>
          <cell r="CF14">
            <v>286.41159599999997</v>
          </cell>
          <cell r="CG14">
            <v>37.753825999999997</v>
          </cell>
          <cell r="CH14">
            <v>1071</v>
          </cell>
          <cell r="CI14">
            <v>466</v>
          </cell>
          <cell r="CJ14">
            <v>272</v>
          </cell>
          <cell r="CK14">
            <v>46</v>
          </cell>
          <cell r="CL14">
            <v>4670</v>
          </cell>
          <cell r="CM14">
            <v>3502.5660710000002</v>
          </cell>
          <cell r="CN14">
            <v>1092.2292709999999</v>
          </cell>
          <cell r="CO14">
            <v>620.55678399999999</v>
          </cell>
          <cell r="CP14">
            <v>75.204657999999995</v>
          </cell>
          <cell r="CQ14">
            <v>24136.88421</v>
          </cell>
          <cell r="CR14">
            <v>20431.436869000001</v>
          </cell>
          <cell r="CS14">
            <v>3394.0201940000002</v>
          </cell>
          <cell r="CT14">
            <v>2525.4792210000001</v>
          </cell>
          <cell r="CU14">
            <v>311.42714699999999</v>
          </cell>
          <cell r="CV14">
            <v>1759.325513</v>
          </cell>
          <cell r="CW14">
            <v>24.476130999999999</v>
          </cell>
          <cell r="CX14">
            <v>1003.037229</v>
          </cell>
          <cell r="CY14">
            <v>568.53431699999999</v>
          </cell>
          <cell r="CZ14">
            <v>1537</v>
          </cell>
          <cell r="DA14">
            <v>16</v>
          </cell>
          <cell r="DB14">
            <v>842</v>
          </cell>
          <cell r="DC14">
            <v>479</v>
          </cell>
          <cell r="DD14">
            <v>1327.47991</v>
          </cell>
          <cell r="DE14">
            <v>1650.6287259999999</v>
          </cell>
          <cell r="DF14">
            <v>776.94252400000005</v>
          </cell>
          <cell r="DG14">
            <v>873.68620199999998</v>
          </cell>
          <cell r="DH14">
            <v>1583</v>
          </cell>
          <cell r="DI14">
            <v>1148</v>
          </cell>
          <cell r="DJ14">
            <v>1430</v>
          </cell>
          <cell r="DK14">
            <v>714</v>
          </cell>
          <cell r="DL14">
            <v>716</v>
          </cell>
        </row>
        <row r="15">
          <cell r="A15" t="str">
            <v>37151</v>
          </cell>
          <cell r="B15" t="str">
            <v>La Membrolle-sur-Choisille</v>
          </cell>
          <cell r="C15" t="str">
            <v>Tour(s)plus</v>
          </cell>
          <cell r="D15">
            <v>1100.486486</v>
          </cell>
          <cell r="E15">
            <v>1055</v>
          </cell>
          <cell r="F15">
            <v>11.118919</v>
          </cell>
          <cell r="G15">
            <v>34.367567999999999</v>
          </cell>
          <cell r="H15">
            <v>1040</v>
          </cell>
          <cell r="I15">
            <v>968</v>
          </cell>
          <cell r="J15">
            <v>18</v>
          </cell>
          <cell r="K15">
            <v>54</v>
          </cell>
          <cell r="L15">
            <v>855</v>
          </cell>
          <cell r="M15">
            <v>812</v>
          </cell>
          <cell r="N15">
            <v>14</v>
          </cell>
          <cell r="O15">
            <v>29</v>
          </cell>
          <cell r="P15">
            <v>759</v>
          </cell>
          <cell r="Q15">
            <v>706</v>
          </cell>
          <cell r="R15">
            <v>16</v>
          </cell>
          <cell r="S15">
            <v>37</v>
          </cell>
          <cell r="T15">
            <v>546</v>
          </cell>
          <cell r="U15">
            <v>482</v>
          </cell>
          <cell r="V15">
            <v>29</v>
          </cell>
          <cell r="W15">
            <v>35</v>
          </cell>
          <cell r="X15">
            <v>335</v>
          </cell>
          <cell r="Y15">
            <v>295</v>
          </cell>
          <cell r="Z15">
            <v>17</v>
          </cell>
          <cell r="AA15">
            <v>23</v>
          </cell>
          <cell r="AB15">
            <v>1005.252744</v>
          </cell>
          <cell r="AC15">
            <v>94.187980999999994</v>
          </cell>
          <cell r="AD15">
            <v>923</v>
          </cell>
          <cell r="AE15">
            <v>98</v>
          </cell>
          <cell r="AF15">
            <v>14.572998</v>
          </cell>
          <cell r="AG15">
            <v>57.087166000000003</v>
          </cell>
          <cell r="AH15">
            <v>129.61673500000001</v>
          </cell>
          <cell r="AI15">
            <v>253.38923600000001</v>
          </cell>
          <cell r="AJ15">
            <v>600.33386499999995</v>
          </cell>
          <cell r="AK15">
            <v>20</v>
          </cell>
          <cell r="AL15">
            <v>59</v>
          </cell>
          <cell r="AM15">
            <v>124</v>
          </cell>
          <cell r="AN15">
            <v>276</v>
          </cell>
          <cell r="AO15">
            <v>489</v>
          </cell>
          <cell r="AP15">
            <v>5124.3539579999997</v>
          </cell>
          <cell r="AQ15">
            <v>967.85274400000003</v>
          </cell>
          <cell r="AR15">
            <v>4878.7230509999999</v>
          </cell>
          <cell r="AS15">
            <v>86.101494000000002</v>
          </cell>
          <cell r="AT15">
            <v>244.58514500000001</v>
          </cell>
          <cell r="AU15">
            <v>4506</v>
          </cell>
          <cell r="AV15">
            <v>866</v>
          </cell>
          <cell r="AW15">
            <v>4186</v>
          </cell>
          <cell r="AX15">
            <v>85</v>
          </cell>
          <cell r="AY15">
            <v>269</v>
          </cell>
          <cell r="AZ15">
            <v>1052.9761470000001</v>
          </cell>
          <cell r="BA15">
            <v>192.03282100000001</v>
          </cell>
          <cell r="BB15">
            <v>247.39768699999999</v>
          </cell>
          <cell r="BC15">
            <v>381.44593800000001</v>
          </cell>
          <cell r="BD15">
            <v>232.09970200000001</v>
          </cell>
          <cell r="BE15">
            <v>173.56970000000001</v>
          </cell>
          <cell r="BF15">
            <v>233.33413999999999</v>
          </cell>
          <cell r="BG15">
            <v>347.29445299999998</v>
          </cell>
          <cell r="BH15">
            <v>211.63059799999999</v>
          </cell>
          <cell r="BI15">
            <v>18.463121000000001</v>
          </cell>
          <cell r="BJ15">
            <v>14.063547</v>
          </cell>
          <cell r="BK15">
            <v>34.151485000000001</v>
          </cell>
          <cell r="BL15">
            <v>19.423342000000002</v>
          </cell>
          <cell r="BM15">
            <v>1055</v>
          </cell>
          <cell r="BN15">
            <v>115.024832</v>
          </cell>
          <cell r="BO15">
            <v>200.88564500000001</v>
          </cell>
          <cell r="BP15">
            <v>170.76624000000001</v>
          </cell>
          <cell r="BQ15">
            <v>568.32328299999995</v>
          </cell>
          <cell r="BR15">
            <v>176.80155999999999</v>
          </cell>
          <cell r="BS15">
            <v>223.16227799999999</v>
          </cell>
          <cell r="BT15">
            <v>168.35944499999999</v>
          </cell>
          <cell r="BU15">
            <v>2684</v>
          </cell>
          <cell r="BV15">
            <v>300.22238099999998</v>
          </cell>
          <cell r="BW15">
            <v>565.84181000000001</v>
          </cell>
          <cell r="BX15">
            <v>526.21655599999997</v>
          </cell>
          <cell r="BY15">
            <v>1291.719253</v>
          </cell>
          <cell r="BZ15">
            <v>480.97274399999998</v>
          </cell>
          <cell r="CA15">
            <v>934.88784899999996</v>
          </cell>
          <cell r="CB15">
            <v>847.48400800000002</v>
          </cell>
          <cell r="CC15">
            <v>2861.0093569999999</v>
          </cell>
          <cell r="CD15">
            <v>813.76141299999995</v>
          </cell>
          <cell r="CE15">
            <v>215.80888999999999</v>
          </cell>
          <cell r="CF15">
            <v>79.226679000000004</v>
          </cell>
          <cell r="CG15">
            <v>25.429697000000001</v>
          </cell>
          <cell r="CH15">
            <v>722</v>
          </cell>
          <cell r="CI15">
            <v>213</v>
          </cell>
          <cell r="CJ15">
            <v>72</v>
          </cell>
          <cell r="CK15">
            <v>33</v>
          </cell>
          <cell r="CL15">
            <v>2684</v>
          </cell>
          <cell r="CM15">
            <v>2104.4703890000001</v>
          </cell>
          <cell r="CN15">
            <v>522.50548300000003</v>
          </cell>
          <cell r="CO15">
            <v>182.79136199999999</v>
          </cell>
          <cell r="CP15">
            <v>57.024127999999997</v>
          </cell>
          <cell r="CQ15">
            <v>16257.657009</v>
          </cell>
          <cell r="CR15">
            <v>14898.982695000001</v>
          </cell>
          <cell r="CS15">
            <v>1163.172493</v>
          </cell>
          <cell r="CT15">
            <v>407.47576099999998</v>
          </cell>
          <cell r="CU15">
            <v>195.50182100000001</v>
          </cell>
          <cell r="CV15">
            <v>1038.53801</v>
          </cell>
          <cell r="CW15">
            <v>17.554172999999999</v>
          </cell>
          <cell r="CX15">
            <v>648.01574600000004</v>
          </cell>
          <cell r="CY15">
            <v>305.17396200000002</v>
          </cell>
          <cell r="CZ15">
            <v>955</v>
          </cell>
          <cell r="DA15">
            <v>15</v>
          </cell>
          <cell r="DB15">
            <v>589</v>
          </cell>
          <cell r="DC15">
            <v>277</v>
          </cell>
          <cell r="DD15">
            <v>838.71771699999999</v>
          </cell>
          <cell r="DE15">
            <v>995.75314500000002</v>
          </cell>
          <cell r="DF15">
            <v>397.48399799999999</v>
          </cell>
          <cell r="DG15">
            <v>598.26914699999998</v>
          </cell>
          <cell r="DH15">
            <v>968</v>
          </cell>
          <cell r="DI15">
            <v>815</v>
          </cell>
          <cell r="DJ15">
            <v>911</v>
          </cell>
          <cell r="DK15">
            <v>374</v>
          </cell>
          <cell r="DL15">
            <v>537</v>
          </cell>
        </row>
        <row r="16">
          <cell r="A16" t="str">
            <v>37152</v>
          </cell>
          <cell r="B16" t="str">
            <v>Mettray</v>
          </cell>
          <cell r="C16" t="str">
            <v>Tour(s)plus</v>
          </cell>
          <cell r="D16">
            <v>789.40394100000003</v>
          </cell>
          <cell r="E16">
            <v>748</v>
          </cell>
          <cell r="F16">
            <v>7.0689659999999996</v>
          </cell>
          <cell r="G16">
            <v>34.334975</v>
          </cell>
          <cell r="H16">
            <v>747</v>
          </cell>
          <cell r="I16">
            <v>716</v>
          </cell>
          <cell r="J16">
            <v>14</v>
          </cell>
          <cell r="K16">
            <v>17</v>
          </cell>
          <cell r="L16">
            <v>662</v>
          </cell>
          <cell r="M16">
            <v>631</v>
          </cell>
          <cell r="N16">
            <v>12</v>
          </cell>
          <cell r="O16">
            <v>19</v>
          </cell>
          <cell r="P16">
            <v>457</v>
          </cell>
          <cell r="Q16">
            <v>415</v>
          </cell>
          <cell r="R16">
            <v>19</v>
          </cell>
          <cell r="S16">
            <v>23</v>
          </cell>
          <cell r="T16">
            <v>345</v>
          </cell>
          <cell r="U16">
            <v>310</v>
          </cell>
          <cell r="V16">
            <v>19</v>
          </cell>
          <cell r="W16">
            <v>16</v>
          </cell>
          <cell r="X16">
            <v>316</v>
          </cell>
          <cell r="Y16">
            <v>287</v>
          </cell>
          <cell r="Z16">
            <v>10</v>
          </cell>
          <cell r="AA16">
            <v>19</v>
          </cell>
          <cell r="AB16">
            <v>681.85242900000003</v>
          </cell>
          <cell r="AC16">
            <v>104.352328</v>
          </cell>
          <cell r="AD16">
            <v>677</v>
          </cell>
          <cell r="AE16">
            <v>55</v>
          </cell>
          <cell r="AF16">
            <v>3.334247</v>
          </cell>
          <cell r="AG16">
            <v>42.471398999999998</v>
          </cell>
          <cell r="AH16">
            <v>130.65248700000001</v>
          </cell>
          <cell r="AI16">
            <v>140.353275</v>
          </cell>
          <cell r="AJ16">
            <v>431.18859300000003</v>
          </cell>
          <cell r="AK16">
            <v>5</v>
          </cell>
          <cell r="AL16">
            <v>41</v>
          </cell>
          <cell r="AM16">
            <v>121</v>
          </cell>
          <cell r="AN16">
            <v>183</v>
          </cell>
          <cell r="AO16">
            <v>366</v>
          </cell>
          <cell r="AP16">
            <v>3618.828998</v>
          </cell>
          <cell r="AQ16">
            <v>643.47804499999995</v>
          </cell>
          <cell r="AR16">
            <v>3281.8946409999999</v>
          </cell>
          <cell r="AS16">
            <v>101.322772</v>
          </cell>
          <cell r="AT16">
            <v>323.296333</v>
          </cell>
          <cell r="AU16">
            <v>3354</v>
          </cell>
          <cell r="AV16">
            <v>651</v>
          </cell>
          <cell r="AW16">
            <v>3100</v>
          </cell>
          <cell r="AX16">
            <v>51</v>
          </cell>
          <cell r="AY16">
            <v>195</v>
          </cell>
          <cell r="AZ16">
            <v>742.17298600000004</v>
          </cell>
          <cell r="BA16">
            <v>179.28857400000001</v>
          </cell>
          <cell r="BB16">
            <v>89.391015999999993</v>
          </cell>
          <cell r="BC16">
            <v>340.25055400000002</v>
          </cell>
          <cell r="BD16">
            <v>133.242842</v>
          </cell>
          <cell r="BE16">
            <v>172.755144</v>
          </cell>
          <cell r="BF16">
            <v>84.353922999999995</v>
          </cell>
          <cell r="BG16">
            <v>272.97249099999999</v>
          </cell>
          <cell r="BH16">
            <v>107.569473</v>
          </cell>
          <cell r="BI16">
            <v>4.3781309999999998</v>
          </cell>
          <cell r="BJ16">
            <v>5.0370929999999996</v>
          </cell>
          <cell r="BK16">
            <v>66.234178999999997</v>
          </cell>
          <cell r="BL16">
            <v>25.673369000000001</v>
          </cell>
          <cell r="BM16">
            <v>748</v>
          </cell>
          <cell r="BN16">
            <v>62.984099999999998</v>
          </cell>
          <cell r="BO16">
            <v>96.516200999999995</v>
          </cell>
          <cell r="BP16">
            <v>141.90083999999999</v>
          </cell>
          <cell r="BQ16">
            <v>446.59885800000001</v>
          </cell>
          <cell r="BR16">
            <v>197.44943900000001</v>
          </cell>
          <cell r="BS16">
            <v>149.509908</v>
          </cell>
          <cell r="BT16">
            <v>99.639510999999999</v>
          </cell>
          <cell r="BU16">
            <v>1864</v>
          </cell>
          <cell r="BV16">
            <v>151.184493</v>
          </cell>
          <cell r="BW16">
            <v>262.12016699999998</v>
          </cell>
          <cell r="BX16">
            <v>375.52912400000002</v>
          </cell>
          <cell r="BY16">
            <v>1075.1662160000001</v>
          </cell>
          <cell r="BZ16">
            <v>268.62285800000001</v>
          </cell>
          <cell r="CA16">
            <v>414.57027799999997</v>
          </cell>
          <cell r="CB16">
            <v>667.15821400000004</v>
          </cell>
          <cell r="CC16">
            <v>2268.477648</v>
          </cell>
          <cell r="CD16">
            <v>559.08743700000002</v>
          </cell>
          <cell r="CE16">
            <v>178.13767999999999</v>
          </cell>
          <cell r="CF16">
            <v>119.26783</v>
          </cell>
          <cell r="CG16">
            <v>10.774883000000001</v>
          </cell>
          <cell r="CH16">
            <v>534</v>
          </cell>
          <cell r="CI16">
            <v>165</v>
          </cell>
          <cell r="CJ16">
            <v>106</v>
          </cell>
          <cell r="CK16">
            <v>17</v>
          </cell>
          <cell r="CL16">
            <v>1864</v>
          </cell>
          <cell r="CM16">
            <v>1412.2465050000001</v>
          </cell>
          <cell r="CN16">
            <v>420.07654300000002</v>
          </cell>
          <cell r="CO16">
            <v>279.01084600000002</v>
          </cell>
          <cell r="CP16">
            <v>31.676952</v>
          </cell>
          <cell r="CQ16">
            <v>11492.39322</v>
          </cell>
          <cell r="CR16">
            <v>10190.562395000001</v>
          </cell>
          <cell r="CS16">
            <v>1145.903067</v>
          </cell>
          <cell r="CT16">
            <v>717.22542299999998</v>
          </cell>
          <cell r="CU16">
            <v>155.92775900000001</v>
          </cell>
          <cell r="CV16">
            <v>734.15117499999997</v>
          </cell>
          <cell r="CW16">
            <v>9.9294899999999995</v>
          </cell>
          <cell r="CX16">
            <v>439.01895999999999</v>
          </cell>
          <cell r="CY16">
            <v>229.26865799999999</v>
          </cell>
          <cell r="CZ16">
            <v>703</v>
          </cell>
          <cell r="DA16">
            <v>9</v>
          </cell>
          <cell r="DB16">
            <v>397</v>
          </cell>
          <cell r="DC16">
            <v>223</v>
          </cell>
          <cell r="DD16">
            <v>555.12831200000005</v>
          </cell>
          <cell r="DE16">
            <v>716.436058</v>
          </cell>
          <cell r="DF16">
            <v>288.19493699999998</v>
          </cell>
          <cell r="DG16">
            <v>428.24112100000002</v>
          </cell>
          <cell r="DH16">
            <v>716</v>
          </cell>
          <cell r="DI16">
            <v>572</v>
          </cell>
          <cell r="DJ16">
            <v>683</v>
          </cell>
          <cell r="DK16">
            <v>253</v>
          </cell>
          <cell r="DL16">
            <v>430</v>
          </cell>
        </row>
        <row r="17">
          <cell r="A17" t="str">
            <v>37153</v>
          </cell>
          <cell r="B17" t="str">
            <v>Monnaie</v>
          </cell>
          <cell r="C17" t="str">
            <v>Vouvrillon</v>
          </cell>
          <cell r="D17">
            <v>1481.2827990000001</v>
          </cell>
          <cell r="E17">
            <v>1388.2827990000001</v>
          </cell>
          <cell r="F17">
            <v>20.776596000000001</v>
          </cell>
          <cell r="G17">
            <v>72.223404000000002</v>
          </cell>
          <cell r="H17">
            <v>1248</v>
          </cell>
          <cell r="I17">
            <v>1161</v>
          </cell>
          <cell r="J17">
            <v>31</v>
          </cell>
          <cell r="K17">
            <v>56</v>
          </cell>
          <cell r="L17">
            <v>1068</v>
          </cell>
          <cell r="M17">
            <v>977</v>
          </cell>
          <cell r="N17">
            <v>46</v>
          </cell>
          <cell r="O17">
            <v>45</v>
          </cell>
          <cell r="P17">
            <v>885</v>
          </cell>
          <cell r="Q17">
            <v>778</v>
          </cell>
          <cell r="R17">
            <v>56</v>
          </cell>
          <cell r="S17">
            <v>51</v>
          </cell>
          <cell r="T17">
            <v>695</v>
          </cell>
          <cell r="U17">
            <v>620</v>
          </cell>
          <cell r="V17">
            <v>31</v>
          </cell>
          <cell r="W17">
            <v>44</v>
          </cell>
          <cell r="X17">
            <v>693</v>
          </cell>
          <cell r="Y17">
            <v>573</v>
          </cell>
          <cell r="Z17">
            <v>29</v>
          </cell>
          <cell r="AA17">
            <v>91</v>
          </cell>
          <cell r="AB17">
            <v>1334.820669</v>
          </cell>
          <cell r="AC17">
            <v>143.51460800000001</v>
          </cell>
          <cell r="AD17">
            <v>1101</v>
          </cell>
          <cell r="AE17">
            <v>131</v>
          </cell>
          <cell r="AF17">
            <v>22.597667999999999</v>
          </cell>
          <cell r="AG17">
            <v>71.723032000000003</v>
          </cell>
          <cell r="AH17">
            <v>180.781341</v>
          </cell>
          <cell r="AI17">
            <v>349.77259500000002</v>
          </cell>
          <cell r="AJ17">
            <v>763.40816299999994</v>
          </cell>
          <cell r="AK17">
            <v>29</v>
          </cell>
          <cell r="AL17">
            <v>81</v>
          </cell>
          <cell r="AM17">
            <v>201</v>
          </cell>
          <cell r="AN17">
            <v>336</v>
          </cell>
          <cell r="AO17">
            <v>514</v>
          </cell>
          <cell r="AP17">
            <v>6512.058309</v>
          </cell>
          <cell r="AQ17">
            <v>1251.7142859999999</v>
          </cell>
          <cell r="AR17">
            <v>6113.1603500000001</v>
          </cell>
          <cell r="AS17">
            <v>133.620991</v>
          </cell>
          <cell r="AT17">
            <v>393.00291499999997</v>
          </cell>
          <cell r="AU17">
            <v>5059</v>
          </cell>
          <cell r="AV17">
            <v>1024</v>
          </cell>
          <cell r="AW17">
            <v>4665</v>
          </cell>
          <cell r="AX17">
            <v>123</v>
          </cell>
          <cell r="AY17">
            <v>352</v>
          </cell>
          <cell r="AZ17">
            <v>1244.8367350000001</v>
          </cell>
          <cell r="BA17">
            <v>387.10787199999999</v>
          </cell>
          <cell r="BB17">
            <v>160.14868799999999</v>
          </cell>
          <cell r="BC17">
            <v>398.89795900000001</v>
          </cell>
          <cell r="BD17">
            <v>298.68221599999998</v>
          </cell>
          <cell r="BE17">
            <v>367.45772599999998</v>
          </cell>
          <cell r="BF17">
            <v>97.268221999999994</v>
          </cell>
          <cell r="BG17">
            <v>365.49271099999999</v>
          </cell>
          <cell r="BH17">
            <v>279.03206999999998</v>
          </cell>
          <cell r="BI17">
            <v>16.702624</v>
          </cell>
          <cell r="BJ17">
            <v>62.880465999999998</v>
          </cell>
          <cell r="BK17">
            <v>33.405248</v>
          </cell>
          <cell r="BL17">
            <v>19.650145999999999</v>
          </cell>
          <cell r="BM17">
            <v>1388.2827990000001</v>
          </cell>
          <cell r="BN17">
            <v>172.92128299999999</v>
          </cell>
          <cell r="BO17">
            <v>268.22449</v>
          </cell>
          <cell r="BP17">
            <v>275.10204099999999</v>
          </cell>
          <cell r="BQ17">
            <v>672.03498500000001</v>
          </cell>
          <cell r="BR17">
            <v>271.172012</v>
          </cell>
          <cell r="BS17">
            <v>246.609329</v>
          </cell>
          <cell r="BT17">
            <v>154.25364400000001</v>
          </cell>
          <cell r="BU17">
            <v>3707</v>
          </cell>
          <cell r="BV17">
            <v>473.568513</v>
          </cell>
          <cell r="BW17">
            <v>717.230321</v>
          </cell>
          <cell r="BX17">
            <v>846.92128300000002</v>
          </cell>
          <cell r="BY17">
            <v>1669.2798829999999</v>
          </cell>
          <cell r="BZ17">
            <v>740.81049599999994</v>
          </cell>
          <cell r="CA17">
            <v>1177.0437320000001</v>
          </cell>
          <cell r="CB17">
            <v>1352.912536</v>
          </cell>
          <cell r="CC17">
            <v>3241.291545</v>
          </cell>
          <cell r="CD17">
            <v>1011</v>
          </cell>
          <cell r="CE17">
            <v>338.96501499999999</v>
          </cell>
          <cell r="CF17">
            <v>118.883382</v>
          </cell>
          <cell r="CG17">
            <v>38.317784000000003</v>
          </cell>
          <cell r="CH17">
            <v>805</v>
          </cell>
          <cell r="CI17">
            <v>306</v>
          </cell>
          <cell r="CJ17">
            <v>123</v>
          </cell>
          <cell r="CK17">
            <v>50</v>
          </cell>
          <cell r="CL17">
            <v>3707</v>
          </cell>
          <cell r="CM17">
            <v>2825.6909620000001</v>
          </cell>
          <cell r="CN17">
            <v>783.05830900000001</v>
          </cell>
          <cell r="CO17">
            <v>244.64431500000001</v>
          </cell>
          <cell r="CP17">
            <v>98.250729000000007</v>
          </cell>
          <cell r="CQ17">
            <v>18751.151602999998</v>
          </cell>
          <cell r="CR17">
            <v>16205.475219</v>
          </cell>
          <cell r="CS17">
            <v>2249.941691</v>
          </cell>
          <cell r="CT17">
            <v>1174.0962099999999</v>
          </cell>
          <cell r="CU17">
            <v>295.73469399999999</v>
          </cell>
          <cell r="CV17">
            <v>1354.877551</v>
          </cell>
          <cell r="CW17">
            <v>26.527697</v>
          </cell>
          <cell r="CX17">
            <v>651.402332</v>
          </cell>
          <cell r="CY17">
            <v>462.76093300000002</v>
          </cell>
          <cell r="CZ17">
            <v>1126</v>
          </cell>
          <cell r="DA17">
            <v>25</v>
          </cell>
          <cell r="DB17">
            <v>569</v>
          </cell>
          <cell r="DC17">
            <v>275</v>
          </cell>
          <cell r="DD17">
            <v>1144.620991</v>
          </cell>
          <cell r="DE17">
            <v>1298.874636</v>
          </cell>
          <cell r="DF17">
            <v>524.65889200000004</v>
          </cell>
          <cell r="DG17">
            <v>774.21574299999997</v>
          </cell>
          <cell r="DH17">
            <v>1161</v>
          </cell>
          <cell r="DI17">
            <v>885</v>
          </cell>
          <cell r="DJ17">
            <v>1054</v>
          </cell>
          <cell r="DK17">
            <v>497</v>
          </cell>
          <cell r="DL17">
            <v>557</v>
          </cell>
        </row>
        <row r="18">
          <cell r="A18" t="str">
            <v>37154</v>
          </cell>
          <cell r="B18" t="str">
            <v>Montbazon</v>
          </cell>
          <cell r="C18" t="str">
            <v>CC du Val de l'Indre</v>
          </cell>
          <cell r="D18">
            <v>1732.539033</v>
          </cell>
          <cell r="E18">
            <v>1587</v>
          </cell>
          <cell r="F18">
            <v>47.434944000000002</v>
          </cell>
          <cell r="G18">
            <v>98.104089000000002</v>
          </cell>
          <cell r="H18">
            <v>1491</v>
          </cell>
          <cell r="I18">
            <v>1319</v>
          </cell>
          <cell r="J18">
            <v>84</v>
          </cell>
          <cell r="K18">
            <v>88</v>
          </cell>
          <cell r="L18">
            <v>1301</v>
          </cell>
          <cell r="M18">
            <v>1164</v>
          </cell>
          <cell r="N18">
            <v>67</v>
          </cell>
          <cell r="O18">
            <v>70</v>
          </cell>
          <cell r="P18">
            <v>1163</v>
          </cell>
          <cell r="Q18">
            <v>1002</v>
          </cell>
          <cell r="R18">
            <v>78</v>
          </cell>
          <cell r="S18">
            <v>83</v>
          </cell>
          <cell r="T18">
            <v>944</v>
          </cell>
          <cell r="U18">
            <v>784</v>
          </cell>
          <cell r="V18">
            <v>81</v>
          </cell>
          <cell r="W18">
            <v>79</v>
          </cell>
          <cell r="X18">
            <v>754</v>
          </cell>
          <cell r="Y18">
            <v>631</v>
          </cell>
          <cell r="Z18">
            <v>73</v>
          </cell>
          <cell r="AA18">
            <v>50</v>
          </cell>
          <cell r="AB18">
            <v>1507.9902500000001</v>
          </cell>
          <cell r="AC18">
            <v>219.12733800000001</v>
          </cell>
          <cell r="AD18">
            <v>1303</v>
          </cell>
          <cell r="AE18">
            <v>128</v>
          </cell>
          <cell r="AF18">
            <v>22.11712</v>
          </cell>
          <cell r="AG18">
            <v>90.519744000000003</v>
          </cell>
          <cell r="AH18">
            <v>210.05907999999999</v>
          </cell>
          <cell r="AI18">
            <v>451.23114900000002</v>
          </cell>
          <cell r="AJ18">
            <v>813.07290699999999</v>
          </cell>
          <cell r="AK18">
            <v>18</v>
          </cell>
          <cell r="AL18">
            <v>83</v>
          </cell>
          <cell r="AM18">
            <v>241</v>
          </cell>
          <cell r="AN18">
            <v>407</v>
          </cell>
          <cell r="AO18">
            <v>570</v>
          </cell>
          <cell r="AP18">
            <v>7368.2321490000004</v>
          </cell>
          <cell r="AQ18">
            <v>1375.388019</v>
          </cell>
          <cell r="AR18">
            <v>6775.0770490000004</v>
          </cell>
          <cell r="AS18">
            <v>206.19053500000001</v>
          </cell>
          <cell r="AT18">
            <v>579.17056200000002</v>
          </cell>
          <cell r="AU18">
            <v>5780</v>
          </cell>
          <cell r="AV18">
            <v>1168</v>
          </cell>
          <cell r="AW18">
            <v>5341</v>
          </cell>
          <cell r="AX18">
            <v>122</v>
          </cell>
          <cell r="AY18">
            <v>347</v>
          </cell>
          <cell r="AZ18">
            <v>1580.574108</v>
          </cell>
          <cell r="BA18">
            <v>337.73844200000002</v>
          </cell>
          <cell r="BB18">
            <v>428.982392</v>
          </cell>
          <cell r="BC18">
            <v>497.94637</v>
          </cell>
          <cell r="BD18">
            <v>315.90690499999999</v>
          </cell>
          <cell r="BE18">
            <v>275.33478200000002</v>
          </cell>
          <cell r="BF18">
            <v>375.55843900000002</v>
          </cell>
          <cell r="BG18">
            <v>488.13167600000003</v>
          </cell>
          <cell r="BH18">
            <v>231.004651</v>
          </cell>
          <cell r="BI18">
            <v>62.403660000000002</v>
          </cell>
          <cell r="BJ18">
            <v>51.267732000000002</v>
          </cell>
          <cell r="BK18">
            <v>7.5966849999999999</v>
          </cell>
          <cell r="BL18">
            <v>83.855037999999993</v>
          </cell>
          <cell r="BM18">
            <v>1587</v>
          </cell>
          <cell r="BN18">
            <v>216.49832699999999</v>
          </cell>
          <cell r="BO18">
            <v>331.38714099999999</v>
          </cell>
          <cell r="BP18">
            <v>264.41748999999999</v>
          </cell>
          <cell r="BQ18">
            <v>774.69704200000001</v>
          </cell>
          <cell r="BR18">
            <v>272.31222300000002</v>
          </cell>
          <cell r="BS18">
            <v>272.54904099999999</v>
          </cell>
          <cell r="BT18">
            <v>229.835778</v>
          </cell>
          <cell r="BU18">
            <v>3909</v>
          </cell>
          <cell r="BV18">
            <v>543.91427199999998</v>
          </cell>
          <cell r="BW18">
            <v>907.25656900000001</v>
          </cell>
          <cell r="BX18">
            <v>748.43426299999999</v>
          </cell>
          <cell r="BY18">
            <v>1709.394896</v>
          </cell>
          <cell r="BZ18">
            <v>876.96919700000001</v>
          </cell>
          <cell r="CA18">
            <v>1507.51361</v>
          </cell>
          <cell r="CB18">
            <v>1245.653777</v>
          </cell>
          <cell r="CC18">
            <v>3738.0955650000001</v>
          </cell>
          <cell r="CD18">
            <v>1151.4580510000001</v>
          </cell>
          <cell r="CE18">
            <v>407.53640899999999</v>
          </cell>
          <cell r="CF18">
            <v>137.87422900000001</v>
          </cell>
          <cell r="CG18">
            <v>28.00554</v>
          </cell>
          <cell r="CH18">
            <v>940</v>
          </cell>
          <cell r="CI18">
            <v>334</v>
          </cell>
          <cell r="CJ18">
            <v>131</v>
          </cell>
          <cell r="CK18">
            <v>45</v>
          </cell>
          <cell r="CL18">
            <v>3909</v>
          </cell>
          <cell r="CM18">
            <v>2892.4361100000001</v>
          </cell>
          <cell r="CN18">
            <v>946.181737</v>
          </cell>
          <cell r="CO18">
            <v>290.11531300000001</v>
          </cell>
          <cell r="CP18">
            <v>70.382153000000002</v>
          </cell>
          <cell r="CQ18">
            <v>22145.070109</v>
          </cell>
          <cell r="CR18">
            <v>19470.930736999999</v>
          </cell>
          <cell r="CS18">
            <v>2392.183556</v>
          </cell>
          <cell r="CT18">
            <v>982.93666800000005</v>
          </cell>
          <cell r="CU18">
            <v>281.95581600000003</v>
          </cell>
          <cell r="CV18">
            <v>1567.268421</v>
          </cell>
          <cell r="CW18">
            <v>55.525393999999999</v>
          </cell>
          <cell r="CX18">
            <v>844.116803</v>
          </cell>
          <cell r="CY18">
            <v>567.86496999999997</v>
          </cell>
          <cell r="CZ18">
            <v>1296</v>
          </cell>
          <cell r="DA18">
            <v>43</v>
          </cell>
          <cell r="DB18">
            <v>667</v>
          </cell>
          <cell r="DC18">
            <v>436</v>
          </cell>
          <cell r="DD18">
            <v>1147.8782200000001</v>
          </cell>
          <cell r="DE18">
            <v>1431.072602</v>
          </cell>
          <cell r="DF18">
            <v>680.46540200000004</v>
          </cell>
          <cell r="DG18">
            <v>750.60720000000003</v>
          </cell>
          <cell r="DH18">
            <v>1319</v>
          </cell>
          <cell r="DI18">
            <v>1003</v>
          </cell>
          <cell r="DJ18">
            <v>1181</v>
          </cell>
          <cell r="DK18">
            <v>586</v>
          </cell>
          <cell r="DL18">
            <v>595</v>
          </cell>
        </row>
        <row r="19">
          <cell r="A19" t="str">
            <v>37156</v>
          </cell>
          <cell r="B19" t="str">
            <v>Montlouis-sur-Loire</v>
          </cell>
          <cell r="C19" t="str">
            <v>CC de l'Est Tourangeau</v>
          </cell>
          <cell r="D19">
            <v>4229.9916899999998</v>
          </cell>
          <cell r="E19">
            <v>3963.9916899999998</v>
          </cell>
          <cell r="F19">
            <v>81.085502000000005</v>
          </cell>
          <cell r="G19">
            <v>184.91449800000001</v>
          </cell>
          <cell r="H19">
            <v>3695</v>
          </cell>
          <cell r="I19">
            <v>3447</v>
          </cell>
          <cell r="J19">
            <v>127</v>
          </cell>
          <cell r="K19">
            <v>121</v>
          </cell>
          <cell r="L19">
            <v>3092</v>
          </cell>
          <cell r="M19">
            <v>2822</v>
          </cell>
          <cell r="N19">
            <v>141</v>
          </cell>
          <cell r="O19">
            <v>129</v>
          </cell>
          <cell r="P19">
            <v>2595</v>
          </cell>
          <cell r="Q19">
            <v>2245</v>
          </cell>
          <cell r="R19">
            <v>161</v>
          </cell>
          <cell r="S19">
            <v>189</v>
          </cell>
          <cell r="T19">
            <v>1896</v>
          </cell>
          <cell r="U19">
            <v>1683</v>
          </cell>
          <cell r="V19">
            <v>130</v>
          </cell>
          <cell r="W19">
            <v>83</v>
          </cell>
          <cell r="X19">
            <v>1504</v>
          </cell>
          <cell r="Y19">
            <v>1223</v>
          </cell>
          <cell r="Z19">
            <v>150</v>
          </cell>
          <cell r="AA19">
            <v>131</v>
          </cell>
          <cell r="AB19">
            <v>3539.0032959999999</v>
          </cell>
          <cell r="AC19">
            <v>611.79240200000004</v>
          </cell>
          <cell r="AD19">
            <v>3050</v>
          </cell>
          <cell r="AE19">
            <v>524</v>
          </cell>
          <cell r="AF19">
            <v>78.210624999999993</v>
          </cell>
          <cell r="AG19">
            <v>254.43203399999999</v>
          </cell>
          <cell r="AH19">
            <v>660.33527900000001</v>
          </cell>
          <cell r="AI19">
            <v>1123.658983</v>
          </cell>
          <cell r="AJ19">
            <v>1847.354769</v>
          </cell>
          <cell r="AK19">
            <v>85</v>
          </cell>
          <cell r="AL19">
            <v>219</v>
          </cell>
          <cell r="AM19">
            <v>676</v>
          </cell>
          <cell r="AN19">
            <v>1076</v>
          </cell>
          <cell r="AO19">
            <v>1391</v>
          </cell>
          <cell r="AP19">
            <v>17544.920260999999</v>
          </cell>
          <cell r="AQ19">
            <v>3304.6464190000002</v>
          </cell>
          <cell r="AR19">
            <v>15660.9352</v>
          </cell>
          <cell r="AS19">
            <v>584.10467000000006</v>
          </cell>
          <cell r="AT19">
            <v>1767.164127</v>
          </cell>
          <cell r="AU19">
            <v>14538</v>
          </cell>
          <cell r="AV19">
            <v>2840</v>
          </cell>
          <cell r="AW19">
            <v>12723</v>
          </cell>
          <cell r="AX19">
            <v>502</v>
          </cell>
          <cell r="AY19">
            <v>1595</v>
          </cell>
          <cell r="AZ19">
            <v>3657.0892359999998</v>
          </cell>
          <cell r="BA19">
            <v>599.944796</v>
          </cell>
          <cell r="BB19">
            <v>902.88721799999996</v>
          </cell>
          <cell r="BC19">
            <v>1278.100218</v>
          </cell>
          <cell r="BD19">
            <v>876.15700400000003</v>
          </cell>
          <cell r="BE19">
            <v>562.32449499999996</v>
          </cell>
          <cell r="BF19">
            <v>724.68579299999999</v>
          </cell>
          <cell r="BG19">
            <v>1160.289276</v>
          </cell>
          <cell r="BH19">
            <v>657.36525500000005</v>
          </cell>
          <cell r="BI19">
            <v>31.680253</v>
          </cell>
          <cell r="BJ19">
            <v>176.22140899999999</v>
          </cell>
          <cell r="BK19">
            <v>115.83092600000001</v>
          </cell>
          <cell r="BL19">
            <v>154.44123500000001</v>
          </cell>
          <cell r="BM19">
            <v>3963.9916899999998</v>
          </cell>
          <cell r="BN19">
            <v>534.60427400000003</v>
          </cell>
          <cell r="BO19">
            <v>705.87564299999997</v>
          </cell>
          <cell r="BP19">
            <v>696.96557199999995</v>
          </cell>
          <cell r="BQ19">
            <v>2026.5462010000001</v>
          </cell>
          <cell r="BR19">
            <v>762.30609400000003</v>
          </cell>
          <cell r="BS19">
            <v>623.70498599999996</v>
          </cell>
          <cell r="BT19">
            <v>640.535121</v>
          </cell>
          <cell r="BU19">
            <v>10007</v>
          </cell>
          <cell r="BV19">
            <v>1327.6006130000001</v>
          </cell>
          <cell r="BW19">
            <v>1936.455481</v>
          </cell>
          <cell r="BX19">
            <v>2030.5062330000001</v>
          </cell>
          <cell r="BY19">
            <v>4712.4376730000004</v>
          </cell>
          <cell r="BZ19">
            <v>2090.8967149999999</v>
          </cell>
          <cell r="CA19">
            <v>2973.9837750000002</v>
          </cell>
          <cell r="CB19">
            <v>3169.0153340000002</v>
          </cell>
          <cell r="CC19">
            <v>9311.0244359999997</v>
          </cell>
          <cell r="CD19">
            <v>2769.0521370000001</v>
          </cell>
          <cell r="CE19">
            <v>1140.489118</v>
          </cell>
          <cell r="CF19">
            <v>636.57508900000005</v>
          </cell>
          <cell r="CG19">
            <v>54.450434999999999</v>
          </cell>
          <cell r="CH19">
            <v>2387</v>
          </cell>
          <cell r="CI19">
            <v>963</v>
          </cell>
          <cell r="CJ19">
            <v>582</v>
          </cell>
          <cell r="CK19">
            <v>97</v>
          </cell>
          <cell r="CL19">
            <v>10007</v>
          </cell>
          <cell r="CM19">
            <v>7219.1377130000001</v>
          </cell>
          <cell r="CN19">
            <v>2664.1112979999998</v>
          </cell>
          <cell r="CO19">
            <v>1492.9319350000001</v>
          </cell>
          <cell r="CP19">
            <v>123.750989</v>
          </cell>
          <cell r="CQ19">
            <v>58264.935792999997</v>
          </cell>
          <cell r="CR19">
            <v>49902.338939000001</v>
          </cell>
          <cell r="CS19">
            <v>7656.721211</v>
          </cell>
          <cell r="CT19">
            <v>5166.8513059999996</v>
          </cell>
          <cell r="CU19">
            <v>705.87564299999997</v>
          </cell>
          <cell r="CV19">
            <v>3888.751088</v>
          </cell>
          <cell r="CW19">
            <v>112.860902</v>
          </cell>
          <cell r="CX19">
            <v>2280.978235</v>
          </cell>
          <cell r="CY19">
            <v>1159.299268</v>
          </cell>
          <cell r="CZ19">
            <v>3351</v>
          </cell>
          <cell r="DA19">
            <v>98</v>
          </cell>
          <cell r="DB19">
            <v>2037</v>
          </cell>
          <cell r="DC19">
            <v>827</v>
          </cell>
          <cell r="DD19">
            <v>3125.4549860000002</v>
          </cell>
          <cell r="DE19">
            <v>3615.5089039999998</v>
          </cell>
          <cell r="DF19">
            <v>1667.1733280000001</v>
          </cell>
          <cell r="DG19">
            <v>1948.3355759999999</v>
          </cell>
          <cell r="DH19">
            <v>3447</v>
          </cell>
          <cell r="DI19">
            <v>2812</v>
          </cell>
          <cell r="DJ19">
            <v>3087</v>
          </cell>
          <cell r="DK19">
            <v>1515</v>
          </cell>
          <cell r="DL19">
            <v>1572</v>
          </cell>
        </row>
        <row r="20">
          <cell r="A20" t="str">
            <v>37159</v>
          </cell>
          <cell r="B20" t="str">
            <v>Monts</v>
          </cell>
          <cell r="C20" t="str">
            <v>CC du Val de l'Indre</v>
          </cell>
          <cell r="D20">
            <v>2701.560015</v>
          </cell>
          <cell r="E20">
            <v>2594</v>
          </cell>
          <cell r="F20">
            <v>44.048386999999998</v>
          </cell>
          <cell r="G20">
            <v>63.511628000000002</v>
          </cell>
          <cell r="H20">
            <v>2414</v>
          </cell>
          <cell r="I20">
            <v>2280</v>
          </cell>
          <cell r="J20">
            <v>55</v>
          </cell>
          <cell r="K20">
            <v>79</v>
          </cell>
          <cell r="L20">
            <v>2184</v>
          </cell>
          <cell r="M20">
            <v>1995</v>
          </cell>
          <cell r="N20">
            <v>74</v>
          </cell>
          <cell r="O20">
            <v>115</v>
          </cell>
          <cell r="P20">
            <v>1837</v>
          </cell>
          <cell r="Q20">
            <v>1648</v>
          </cell>
          <cell r="R20">
            <v>75</v>
          </cell>
          <cell r="S20">
            <v>114</v>
          </cell>
          <cell r="T20">
            <v>1458</v>
          </cell>
          <cell r="U20">
            <v>1279</v>
          </cell>
          <cell r="V20">
            <v>80</v>
          </cell>
          <cell r="W20">
            <v>99</v>
          </cell>
          <cell r="X20">
            <v>1208</v>
          </cell>
          <cell r="Y20">
            <v>1016</v>
          </cell>
          <cell r="Z20">
            <v>96</v>
          </cell>
          <cell r="AA20">
            <v>96</v>
          </cell>
          <cell r="AB20">
            <v>2324.521675</v>
          </cell>
          <cell r="AC20">
            <v>365.58292499999999</v>
          </cell>
          <cell r="AD20">
            <v>2075</v>
          </cell>
          <cell r="AE20">
            <v>318</v>
          </cell>
          <cell r="AF20">
            <v>28.776275999999999</v>
          </cell>
          <cell r="AG20">
            <v>98.575350999999998</v>
          </cell>
          <cell r="AH20">
            <v>300.63081299999999</v>
          </cell>
          <cell r="AI20">
            <v>755.17999199999997</v>
          </cell>
          <cell r="AJ20">
            <v>1410.837567</v>
          </cell>
          <cell r="AK20">
            <v>29</v>
          </cell>
          <cell r="AL20">
            <v>98</v>
          </cell>
          <cell r="AM20">
            <v>319</v>
          </cell>
          <cell r="AN20">
            <v>766</v>
          </cell>
          <cell r="AO20">
            <v>1068</v>
          </cell>
          <cell r="AP20">
            <v>12171.285583999999</v>
          </cell>
          <cell r="AQ20">
            <v>2238.4736630000002</v>
          </cell>
          <cell r="AR20">
            <v>10986.913532</v>
          </cell>
          <cell r="AS20">
            <v>347.14406500000001</v>
          </cell>
          <cell r="AT20">
            <v>1161.5595820000001</v>
          </cell>
          <cell r="AU20">
            <v>10204</v>
          </cell>
          <cell r="AV20">
            <v>1970</v>
          </cell>
          <cell r="AW20">
            <v>9190</v>
          </cell>
          <cell r="AX20">
            <v>292</v>
          </cell>
          <cell r="AY20">
            <v>960</v>
          </cell>
          <cell r="AZ20">
            <v>2583.9718539999999</v>
          </cell>
          <cell r="BA20">
            <v>431.965057</v>
          </cell>
          <cell r="BB20">
            <v>732.11138700000004</v>
          </cell>
          <cell r="BC20">
            <v>918.53481499999998</v>
          </cell>
          <cell r="BD20">
            <v>501.36059399999999</v>
          </cell>
          <cell r="BE20">
            <v>398.41856999999999</v>
          </cell>
          <cell r="BF20">
            <v>557.00767499999995</v>
          </cell>
          <cell r="BG20">
            <v>827.84652900000003</v>
          </cell>
          <cell r="BH20">
            <v>445.17274300000003</v>
          </cell>
          <cell r="BI20">
            <v>30.358601</v>
          </cell>
          <cell r="BJ20">
            <v>172.987931</v>
          </cell>
          <cell r="BK20">
            <v>88.681787999999997</v>
          </cell>
          <cell r="BL20">
            <v>55.115746000000001</v>
          </cell>
          <cell r="BM20">
            <v>2594</v>
          </cell>
          <cell r="BN20">
            <v>276.41029500000002</v>
          </cell>
          <cell r="BO20">
            <v>421.32369299999999</v>
          </cell>
          <cell r="BP20">
            <v>433.40272399999998</v>
          </cell>
          <cell r="BQ20">
            <v>1462.8632889999999</v>
          </cell>
          <cell r="BR20">
            <v>542.54973500000006</v>
          </cell>
          <cell r="BS20">
            <v>538.09679000000006</v>
          </cell>
          <cell r="BT20">
            <v>382.21676400000001</v>
          </cell>
          <cell r="BU20">
            <v>6925</v>
          </cell>
          <cell r="BV20">
            <v>745.72940500000004</v>
          </cell>
          <cell r="BW20">
            <v>1228.117303</v>
          </cell>
          <cell r="BX20">
            <v>1343.6637679999999</v>
          </cell>
          <cell r="BY20">
            <v>3607.4895230000002</v>
          </cell>
          <cell r="BZ20">
            <v>1214.611318</v>
          </cell>
          <cell r="CA20">
            <v>1902.5837469999999</v>
          </cell>
          <cell r="CB20">
            <v>2075.620758</v>
          </cell>
          <cell r="CC20">
            <v>6978.4697610000003</v>
          </cell>
          <cell r="CD20">
            <v>1989.085926</v>
          </cell>
          <cell r="CE20">
            <v>577.87293799999998</v>
          </cell>
          <cell r="CF20">
            <v>251.365286</v>
          </cell>
          <cell r="CG20">
            <v>27.041136000000002</v>
          </cell>
          <cell r="CH20">
            <v>1730</v>
          </cell>
          <cell r="CI20">
            <v>509</v>
          </cell>
          <cell r="CJ20">
            <v>256</v>
          </cell>
          <cell r="CK20">
            <v>41</v>
          </cell>
          <cell r="CL20">
            <v>6925</v>
          </cell>
          <cell r="CM20">
            <v>5519.9181859999999</v>
          </cell>
          <cell r="CN20">
            <v>1348.139242</v>
          </cell>
          <cell r="CO20">
            <v>542.30224999999996</v>
          </cell>
          <cell r="CP20">
            <v>56.942571999999998</v>
          </cell>
          <cell r="CQ20">
            <v>39270.191443999996</v>
          </cell>
          <cell r="CR20">
            <v>33876.014692999997</v>
          </cell>
          <cell r="CS20">
            <v>4822.8247410000004</v>
          </cell>
          <cell r="CT20">
            <v>2382.8378269999998</v>
          </cell>
          <cell r="CU20">
            <v>571.35200999999995</v>
          </cell>
          <cell r="CV20">
            <v>2557.4826819999998</v>
          </cell>
          <cell r="CW20">
            <v>250.648449</v>
          </cell>
          <cell r="CX20">
            <v>1322.7086870000001</v>
          </cell>
          <cell r="CY20">
            <v>696.38720000000001</v>
          </cell>
          <cell r="CZ20">
            <v>2239</v>
          </cell>
          <cell r="DA20">
            <v>220</v>
          </cell>
          <cell r="DB20">
            <v>1133</v>
          </cell>
          <cell r="DC20">
            <v>543</v>
          </cell>
          <cell r="DD20">
            <v>2080.8257429999999</v>
          </cell>
          <cell r="DE20">
            <v>2446.6842099999999</v>
          </cell>
          <cell r="DF20">
            <v>1007.2110719999999</v>
          </cell>
          <cell r="DG20">
            <v>1439.4731380000001</v>
          </cell>
          <cell r="DH20">
            <v>2280</v>
          </cell>
          <cell r="DI20">
            <v>1851</v>
          </cell>
          <cell r="DJ20">
            <v>2121</v>
          </cell>
          <cell r="DK20">
            <v>912</v>
          </cell>
          <cell r="DL20">
            <v>1209</v>
          </cell>
        </row>
        <row r="21">
          <cell r="A21" t="str">
            <v>37172</v>
          </cell>
          <cell r="B21" t="str">
            <v>Notre-Dame-d'Oé</v>
          </cell>
          <cell r="C21" t="str">
            <v>Tour(s)plus</v>
          </cell>
          <cell r="D21">
            <v>1314.062766</v>
          </cell>
          <cell r="E21">
            <v>1289.062766</v>
          </cell>
          <cell r="F21">
            <v>5</v>
          </cell>
          <cell r="G21">
            <v>20</v>
          </cell>
          <cell r="H21">
            <v>1156</v>
          </cell>
          <cell r="I21">
            <v>1131</v>
          </cell>
          <cell r="J21">
            <v>8</v>
          </cell>
          <cell r="K21">
            <v>17</v>
          </cell>
          <cell r="L21">
            <v>808</v>
          </cell>
          <cell r="M21">
            <v>781</v>
          </cell>
          <cell r="N21">
            <v>17</v>
          </cell>
          <cell r="O21">
            <v>10</v>
          </cell>
          <cell r="P21">
            <v>650</v>
          </cell>
          <cell r="Q21">
            <v>625</v>
          </cell>
          <cell r="R21">
            <v>6</v>
          </cell>
          <cell r="S21">
            <v>19</v>
          </cell>
          <cell r="T21">
            <v>335</v>
          </cell>
          <cell r="U21">
            <v>320</v>
          </cell>
          <cell r="V21">
            <v>6</v>
          </cell>
          <cell r="W21">
            <v>9</v>
          </cell>
          <cell r="X21">
            <v>183</v>
          </cell>
          <cell r="Y21">
            <v>160</v>
          </cell>
          <cell r="Z21">
            <v>17</v>
          </cell>
          <cell r="AA21">
            <v>6</v>
          </cell>
          <cell r="AB21">
            <v>1220.198523</v>
          </cell>
          <cell r="AC21">
            <v>93.864243000000002</v>
          </cell>
          <cell r="AD21">
            <v>1063</v>
          </cell>
          <cell r="AE21">
            <v>84</v>
          </cell>
          <cell r="AF21">
            <v>5.9267250000000002</v>
          </cell>
          <cell r="AG21">
            <v>32.596989000000001</v>
          </cell>
          <cell r="AH21">
            <v>134.33910800000001</v>
          </cell>
          <cell r="AI21">
            <v>373.38369799999998</v>
          </cell>
          <cell r="AJ21">
            <v>742.81624499999998</v>
          </cell>
          <cell r="AK21">
            <v>7</v>
          </cell>
          <cell r="AL21">
            <v>35</v>
          </cell>
          <cell r="AM21">
            <v>116</v>
          </cell>
          <cell r="AN21">
            <v>356</v>
          </cell>
          <cell r="AO21">
            <v>617</v>
          </cell>
          <cell r="AP21">
            <v>6207.2570290000003</v>
          </cell>
          <cell r="AQ21">
            <v>1197.198523</v>
          </cell>
          <cell r="AR21">
            <v>5917.835274</v>
          </cell>
          <cell r="AS21">
            <v>91.864243000000002</v>
          </cell>
          <cell r="AT21">
            <v>289.42175500000002</v>
          </cell>
          <cell r="AU21">
            <v>5273</v>
          </cell>
          <cell r="AV21">
            <v>1040</v>
          </cell>
          <cell r="AW21">
            <v>4951</v>
          </cell>
          <cell r="AX21">
            <v>83</v>
          </cell>
          <cell r="AY21">
            <v>293</v>
          </cell>
          <cell r="AZ21">
            <v>1204.113036</v>
          </cell>
          <cell r="BA21">
            <v>136.314683</v>
          </cell>
          <cell r="BB21">
            <v>161.99716000000001</v>
          </cell>
          <cell r="BC21">
            <v>495.86935499999998</v>
          </cell>
          <cell r="BD21">
            <v>409.93183800000003</v>
          </cell>
          <cell r="BE21">
            <v>127.424595</v>
          </cell>
          <cell r="BF21">
            <v>161.99716000000001</v>
          </cell>
          <cell r="BG21">
            <v>492.90599300000002</v>
          </cell>
          <cell r="BH21">
            <v>333.87219499999998</v>
          </cell>
          <cell r="BI21">
            <v>8.8900880000000004</v>
          </cell>
          <cell r="BJ21">
            <v>0</v>
          </cell>
          <cell r="BK21">
            <v>2.9633630000000002</v>
          </cell>
          <cell r="BL21">
            <v>76.059641999999997</v>
          </cell>
          <cell r="BM21">
            <v>1289.062766</v>
          </cell>
          <cell r="BN21">
            <v>87.913093000000003</v>
          </cell>
          <cell r="BO21">
            <v>184.716274</v>
          </cell>
          <cell r="BP21">
            <v>220.27662599999999</v>
          </cell>
          <cell r="BQ21">
            <v>796.15677400000004</v>
          </cell>
          <cell r="BR21">
            <v>320.04316999999998</v>
          </cell>
          <cell r="BS21">
            <v>239.04459</v>
          </cell>
          <cell r="BT21">
            <v>237.06901400000001</v>
          </cell>
          <cell r="BU21">
            <v>3478</v>
          </cell>
          <cell r="BV21">
            <v>257.81255299999998</v>
          </cell>
          <cell r="BW21">
            <v>525.50298199999997</v>
          </cell>
          <cell r="BX21">
            <v>705.28031799999997</v>
          </cell>
          <cell r="BY21">
            <v>1989.404147</v>
          </cell>
          <cell r="BZ21">
            <v>378.32263599999999</v>
          </cell>
          <cell r="CA21">
            <v>831.71712600000001</v>
          </cell>
          <cell r="CB21">
            <v>1077.676228</v>
          </cell>
          <cell r="CC21">
            <v>3919.5410390000002</v>
          </cell>
          <cell r="CD21">
            <v>1081.627379</v>
          </cell>
          <cell r="CE21">
            <v>201.50866199999999</v>
          </cell>
          <cell r="CF21">
            <v>82.974154999999996</v>
          </cell>
          <cell r="CG21">
            <v>5.9267250000000002</v>
          </cell>
          <cell r="CH21">
            <v>948</v>
          </cell>
          <cell r="CI21">
            <v>166</v>
          </cell>
          <cell r="CJ21">
            <v>62</v>
          </cell>
          <cell r="CK21">
            <v>17</v>
          </cell>
          <cell r="CL21">
            <v>3478</v>
          </cell>
          <cell r="CM21">
            <v>2920.8878159999999</v>
          </cell>
          <cell r="CN21">
            <v>543.28315799999996</v>
          </cell>
          <cell r="CO21">
            <v>238.056802</v>
          </cell>
          <cell r="CP21">
            <v>13.829026000000001</v>
          </cell>
          <cell r="CQ21">
            <v>21201.872195</v>
          </cell>
          <cell r="CR21">
            <v>19991.832434</v>
          </cell>
          <cell r="CS21">
            <v>1171.5160470000001</v>
          </cell>
          <cell r="CT21">
            <v>485.99148000000002</v>
          </cell>
          <cell r="CU21">
            <v>38.523715000000003</v>
          </cell>
          <cell r="CV21">
            <v>1281.160466</v>
          </cell>
          <cell r="CW21">
            <v>1.9755750000000001</v>
          </cell>
          <cell r="CX21">
            <v>597.61147400000004</v>
          </cell>
          <cell r="CY21">
            <v>506.73501800000003</v>
          </cell>
          <cell r="CZ21">
            <v>1120</v>
          </cell>
          <cell r="DA21">
            <v>3</v>
          </cell>
          <cell r="DB21">
            <v>493</v>
          </cell>
          <cell r="DC21">
            <v>412</v>
          </cell>
          <cell r="DD21">
            <v>1114.2243679999999</v>
          </cell>
          <cell r="DE21">
            <v>1247.575689</v>
          </cell>
          <cell r="DF21">
            <v>498.832718</v>
          </cell>
          <cell r="DG21">
            <v>748.74297100000001</v>
          </cell>
          <cell r="DH21">
            <v>1131</v>
          </cell>
          <cell r="DI21">
            <v>968</v>
          </cell>
          <cell r="DJ21">
            <v>1095</v>
          </cell>
          <cell r="DK21">
            <v>442</v>
          </cell>
          <cell r="DL21">
            <v>653</v>
          </cell>
        </row>
        <row r="22">
          <cell r="A22" t="str">
            <v>37179</v>
          </cell>
          <cell r="B22" t="str">
            <v>Parçay-Meslay</v>
          </cell>
          <cell r="C22" t="str">
            <v>Vouvrillon</v>
          </cell>
          <cell r="D22">
            <v>927.43066499999998</v>
          </cell>
          <cell r="E22">
            <v>899</v>
          </cell>
          <cell r="F22">
            <v>7.3709129999999998</v>
          </cell>
          <cell r="G22">
            <v>21.059752</v>
          </cell>
          <cell r="H22">
            <v>811</v>
          </cell>
          <cell r="I22">
            <v>787</v>
          </cell>
          <cell r="J22">
            <v>11</v>
          </cell>
          <cell r="K22">
            <v>13</v>
          </cell>
          <cell r="L22">
            <v>592</v>
          </cell>
          <cell r="M22">
            <v>564</v>
          </cell>
          <cell r="N22">
            <v>12</v>
          </cell>
          <cell r="O22">
            <v>16</v>
          </cell>
          <cell r="P22">
            <v>484</v>
          </cell>
          <cell r="Q22">
            <v>462</v>
          </cell>
          <cell r="R22">
            <v>10</v>
          </cell>
          <cell r="S22">
            <v>12</v>
          </cell>
          <cell r="T22">
            <v>362</v>
          </cell>
          <cell r="U22">
            <v>318</v>
          </cell>
          <cell r="V22">
            <v>16</v>
          </cell>
          <cell r="W22">
            <v>28</v>
          </cell>
          <cell r="X22">
            <v>227</v>
          </cell>
          <cell r="Y22">
            <v>218</v>
          </cell>
          <cell r="Z22">
            <v>4</v>
          </cell>
          <cell r="AA22">
            <v>5</v>
          </cell>
          <cell r="AB22">
            <v>818.09393999999998</v>
          </cell>
          <cell r="AC22">
            <v>105.083479</v>
          </cell>
          <cell r="AD22">
            <v>723</v>
          </cell>
          <cell r="AE22">
            <v>75</v>
          </cell>
          <cell r="AF22">
            <v>8.8105949999999993</v>
          </cell>
          <cell r="AG22">
            <v>50.111438999999997</v>
          </cell>
          <cell r="AH22">
            <v>135.77712199999999</v>
          </cell>
          <cell r="AI22">
            <v>283.33152899999999</v>
          </cell>
          <cell r="AJ22">
            <v>420.96931599999999</v>
          </cell>
          <cell r="AK22">
            <v>10</v>
          </cell>
          <cell r="AL22">
            <v>38</v>
          </cell>
          <cell r="AM22">
            <v>144</v>
          </cell>
          <cell r="AN22">
            <v>271</v>
          </cell>
          <cell r="AO22">
            <v>324</v>
          </cell>
          <cell r="AP22">
            <v>4010.1667189999998</v>
          </cell>
          <cell r="AQ22">
            <v>798.087176</v>
          </cell>
          <cell r="AR22">
            <v>3717.875462</v>
          </cell>
          <cell r="AS22">
            <v>98.765552999999997</v>
          </cell>
          <cell r="AT22">
            <v>289.10206199999999</v>
          </cell>
          <cell r="AU22">
            <v>3403</v>
          </cell>
          <cell r="AV22">
            <v>705</v>
          </cell>
          <cell r="AW22">
            <v>3171</v>
          </cell>
          <cell r="AX22">
            <v>72</v>
          </cell>
          <cell r="AY22">
            <v>202</v>
          </cell>
          <cell r="AZ22">
            <v>894.73672899999997</v>
          </cell>
          <cell r="BA22">
            <v>139.11816999999999</v>
          </cell>
          <cell r="BB22">
            <v>148.16385500000001</v>
          </cell>
          <cell r="BC22">
            <v>305.793181</v>
          </cell>
          <cell r="BD22">
            <v>301.66152299999999</v>
          </cell>
          <cell r="BE22">
            <v>127.27834300000001</v>
          </cell>
          <cell r="BF22">
            <v>143.83622399999999</v>
          </cell>
          <cell r="BG22">
            <v>295.35767099999998</v>
          </cell>
          <cell r="BH22">
            <v>228.45701399999999</v>
          </cell>
          <cell r="BI22">
            <v>11.839827</v>
          </cell>
          <cell r="BJ22">
            <v>4.3276310000000002</v>
          </cell>
          <cell r="BK22">
            <v>9.3301630000000007</v>
          </cell>
          <cell r="BL22">
            <v>72.162586000000005</v>
          </cell>
          <cell r="BM22">
            <v>899</v>
          </cell>
          <cell r="BN22">
            <v>82.347838999999993</v>
          </cell>
          <cell r="BO22">
            <v>121.29665900000001</v>
          </cell>
          <cell r="BP22">
            <v>193.07178099999999</v>
          </cell>
          <cell r="BQ22">
            <v>502.28372100000001</v>
          </cell>
          <cell r="BR22">
            <v>196.11441300000001</v>
          </cell>
          <cell r="BS22">
            <v>176.632406</v>
          </cell>
          <cell r="BT22">
            <v>129.536902</v>
          </cell>
          <cell r="BU22">
            <v>2364</v>
          </cell>
          <cell r="BV22">
            <v>208.45157</v>
          </cell>
          <cell r="BW22">
            <v>346.01296600000001</v>
          </cell>
          <cell r="BX22">
            <v>599.20964800000002</v>
          </cell>
          <cell r="BY22">
            <v>1210.325816</v>
          </cell>
          <cell r="BZ22">
            <v>325.846339</v>
          </cell>
          <cell r="CA22">
            <v>500.82116300000001</v>
          </cell>
          <cell r="CB22">
            <v>871.48502900000005</v>
          </cell>
          <cell r="CC22">
            <v>2312.0141880000001</v>
          </cell>
          <cell r="CD22">
            <v>668.34714599999995</v>
          </cell>
          <cell r="CE22">
            <v>215.77461600000001</v>
          </cell>
          <cell r="CF22">
            <v>123.502054</v>
          </cell>
          <cell r="CG22">
            <v>14.878238</v>
          </cell>
          <cell r="CH22">
            <v>585</v>
          </cell>
          <cell r="CI22">
            <v>190</v>
          </cell>
          <cell r="CJ22">
            <v>115</v>
          </cell>
          <cell r="CK22">
            <v>12</v>
          </cell>
          <cell r="CL22">
            <v>2364</v>
          </cell>
          <cell r="CM22">
            <v>1798.4211989999999</v>
          </cell>
          <cell r="CN22">
            <v>531.29117199999996</v>
          </cell>
          <cell r="CO22">
            <v>312.40821099999999</v>
          </cell>
          <cell r="CP22">
            <v>34.28763</v>
          </cell>
          <cell r="CQ22">
            <v>14064.610192</v>
          </cell>
          <cell r="CR22">
            <v>12642.456671</v>
          </cell>
          <cell r="CS22">
            <v>1312.4674279999999</v>
          </cell>
          <cell r="CT22">
            <v>780.48817599999995</v>
          </cell>
          <cell r="CU22">
            <v>109.686093</v>
          </cell>
          <cell r="CV22">
            <v>887.21811000000002</v>
          </cell>
          <cell r="CW22">
            <v>8.5274800000000006</v>
          </cell>
          <cell r="CX22">
            <v>417.90516300000002</v>
          </cell>
          <cell r="CY22">
            <v>336.87566800000002</v>
          </cell>
          <cell r="CZ22">
            <v>779</v>
          </cell>
          <cell r="DA22">
            <v>8</v>
          </cell>
          <cell r="DB22">
            <v>365</v>
          </cell>
          <cell r="DC22">
            <v>280</v>
          </cell>
          <cell r="DD22">
            <v>696.64059899999995</v>
          </cell>
          <cell r="DE22">
            <v>840.15950699999996</v>
          </cell>
          <cell r="DF22">
            <v>340.902377</v>
          </cell>
          <cell r="DG22">
            <v>499.25713000000002</v>
          </cell>
          <cell r="DH22">
            <v>787</v>
          </cell>
          <cell r="DI22">
            <v>624</v>
          </cell>
          <cell r="DJ22">
            <v>727</v>
          </cell>
          <cell r="DK22">
            <v>311</v>
          </cell>
          <cell r="DL22">
            <v>416</v>
          </cell>
        </row>
        <row r="23">
          <cell r="A23" t="str">
            <v>37194</v>
          </cell>
          <cell r="B23" t="str">
            <v>Reugny</v>
          </cell>
          <cell r="C23" t="str">
            <v>Vouvrillon</v>
          </cell>
          <cell r="D23">
            <v>701</v>
          </cell>
          <cell r="E23">
            <v>607</v>
          </cell>
          <cell r="F23">
            <v>46</v>
          </cell>
          <cell r="G23">
            <v>48</v>
          </cell>
          <cell r="H23">
            <v>622</v>
          </cell>
          <cell r="I23">
            <v>538</v>
          </cell>
          <cell r="J23">
            <v>50</v>
          </cell>
          <cell r="K23">
            <v>34</v>
          </cell>
          <cell r="L23">
            <v>596</v>
          </cell>
          <cell r="M23">
            <v>478</v>
          </cell>
          <cell r="N23">
            <v>77</v>
          </cell>
          <cell r="O23">
            <v>41</v>
          </cell>
          <cell r="P23">
            <v>518</v>
          </cell>
          <cell r="Q23">
            <v>423</v>
          </cell>
          <cell r="R23">
            <v>67</v>
          </cell>
          <cell r="S23">
            <v>28</v>
          </cell>
          <cell r="T23">
            <v>413</v>
          </cell>
          <cell r="U23">
            <v>326</v>
          </cell>
          <cell r="V23">
            <v>61</v>
          </cell>
          <cell r="W23">
            <v>26</v>
          </cell>
          <cell r="X23">
            <v>422</v>
          </cell>
          <cell r="Y23">
            <v>344</v>
          </cell>
          <cell r="Z23">
            <v>49</v>
          </cell>
          <cell r="AA23">
            <v>29</v>
          </cell>
          <cell r="AB23">
            <v>674</v>
          </cell>
          <cell r="AC23">
            <v>22</v>
          </cell>
          <cell r="AD23">
            <v>601</v>
          </cell>
          <cell r="AE23">
            <v>14</v>
          </cell>
          <cell r="AF23">
            <v>3</v>
          </cell>
          <cell r="AG23">
            <v>33</v>
          </cell>
          <cell r="AH23">
            <v>91</v>
          </cell>
          <cell r="AI23">
            <v>168</v>
          </cell>
          <cell r="AJ23">
            <v>312</v>
          </cell>
          <cell r="AK23">
            <v>6</v>
          </cell>
          <cell r="AL23">
            <v>31</v>
          </cell>
          <cell r="AM23">
            <v>116</v>
          </cell>
          <cell r="AN23">
            <v>147</v>
          </cell>
          <cell r="AO23">
            <v>238</v>
          </cell>
          <cell r="AP23">
            <v>2825</v>
          </cell>
          <cell r="AQ23">
            <v>585</v>
          </cell>
          <cell r="AR23">
            <v>2766</v>
          </cell>
          <cell r="AS23">
            <v>21</v>
          </cell>
          <cell r="AT23">
            <v>57</v>
          </cell>
          <cell r="AU23">
            <v>2358</v>
          </cell>
          <cell r="AV23">
            <v>520</v>
          </cell>
          <cell r="AW23">
            <v>2298</v>
          </cell>
          <cell r="AX23">
            <v>11</v>
          </cell>
          <cell r="AY23">
            <v>32</v>
          </cell>
          <cell r="AZ23">
            <v>580</v>
          </cell>
          <cell r="BA23">
            <v>272</v>
          </cell>
          <cell r="BB23">
            <v>48</v>
          </cell>
          <cell r="BC23">
            <v>177</v>
          </cell>
          <cell r="BD23">
            <v>83</v>
          </cell>
          <cell r="BE23">
            <v>258</v>
          </cell>
          <cell r="BF23">
            <v>47</v>
          </cell>
          <cell r="BG23">
            <v>174</v>
          </cell>
          <cell r="BH23">
            <v>81</v>
          </cell>
          <cell r="BI23">
            <v>13</v>
          </cell>
          <cell r="BJ23">
            <v>1</v>
          </cell>
          <cell r="BK23">
            <v>3</v>
          </cell>
          <cell r="BL23">
            <v>2</v>
          </cell>
          <cell r="BM23">
            <v>607</v>
          </cell>
          <cell r="BN23">
            <v>67</v>
          </cell>
          <cell r="BO23">
            <v>106</v>
          </cell>
          <cell r="BP23">
            <v>105</v>
          </cell>
          <cell r="BQ23">
            <v>329</v>
          </cell>
          <cell r="BR23">
            <v>112</v>
          </cell>
          <cell r="BS23">
            <v>126</v>
          </cell>
          <cell r="BT23">
            <v>91</v>
          </cell>
          <cell r="BU23">
            <v>1498</v>
          </cell>
          <cell r="BV23">
            <v>155</v>
          </cell>
          <cell r="BW23">
            <v>312</v>
          </cell>
          <cell r="BX23">
            <v>314</v>
          </cell>
          <cell r="BY23">
            <v>717</v>
          </cell>
          <cell r="BZ23">
            <v>274</v>
          </cell>
          <cell r="CA23">
            <v>475</v>
          </cell>
          <cell r="CB23">
            <v>512</v>
          </cell>
          <cell r="CC23">
            <v>1564</v>
          </cell>
          <cell r="CD23">
            <v>491</v>
          </cell>
          <cell r="CE23">
            <v>107</v>
          </cell>
          <cell r="CF23">
            <v>19</v>
          </cell>
          <cell r="CG23">
            <v>9</v>
          </cell>
          <cell r="CH23">
            <v>435</v>
          </cell>
          <cell r="CI23">
            <v>86</v>
          </cell>
          <cell r="CJ23">
            <v>7</v>
          </cell>
          <cell r="CK23">
            <v>17</v>
          </cell>
          <cell r="CL23">
            <v>1498</v>
          </cell>
          <cell r="CM23">
            <v>1229</v>
          </cell>
          <cell r="CN23">
            <v>244</v>
          </cell>
          <cell r="CO23">
            <v>64</v>
          </cell>
          <cell r="CP23">
            <v>25</v>
          </cell>
          <cell r="CQ23">
            <v>9655</v>
          </cell>
          <cell r="CR23">
            <v>8925</v>
          </cell>
          <cell r="CS23">
            <v>597</v>
          </cell>
          <cell r="CT23">
            <v>80</v>
          </cell>
          <cell r="CU23">
            <v>133</v>
          </cell>
          <cell r="CV23">
            <v>589</v>
          </cell>
          <cell r="CW23">
            <v>6</v>
          </cell>
          <cell r="CX23">
            <v>196</v>
          </cell>
          <cell r="CY23">
            <v>214</v>
          </cell>
          <cell r="CZ23">
            <v>512</v>
          </cell>
          <cell r="DA23">
            <v>7</v>
          </cell>
          <cell r="DB23">
            <v>232</v>
          </cell>
          <cell r="DC23">
            <v>174</v>
          </cell>
          <cell r="DD23">
            <v>501</v>
          </cell>
          <cell r="DE23">
            <v>550</v>
          </cell>
          <cell r="DF23">
            <v>229</v>
          </cell>
          <cell r="DG23">
            <v>321</v>
          </cell>
          <cell r="DH23">
            <v>538</v>
          </cell>
          <cell r="DI23">
            <v>413</v>
          </cell>
          <cell r="DJ23">
            <v>476</v>
          </cell>
          <cell r="DK23">
            <v>221</v>
          </cell>
          <cell r="DL23">
            <v>255</v>
          </cell>
        </row>
        <row r="24">
          <cell r="A24" t="str">
            <v>37195</v>
          </cell>
          <cell r="B24" t="str">
            <v>La Riche</v>
          </cell>
          <cell r="C24" t="str">
            <v>Tour(s)plus</v>
          </cell>
          <cell r="D24">
            <v>5054</v>
          </cell>
          <cell r="E24">
            <v>4739</v>
          </cell>
          <cell r="F24">
            <v>27</v>
          </cell>
          <cell r="G24">
            <v>288</v>
          </cell>
          <cell r="H24">
            <v>4304</v>
          </cell>
          <cell r="I24">
            <v>3851</v>
          </cell>
          <cell r="J24">
            <v>142</v>
          </cell>
          <cell r="K24">
            <v>311</v>
          </cell>
          <cell r="L24">
            <v>3628</v>
          </cell>
          <cell r="M24">
            <v>3315</v>
          </cell>
          <cell r="N24">
            <v>56</v>
          </cell>
          <cell r="O24">
            <v>257</v>
          </cell>
          <cell r="P24">
            <v>3330</v>
          </cell>
          <cell r="Q24">
            <v>2983</v>
          </cell>
          <cell r="R24">
            <v>69</v>
          </cell>
          <cell r="S24">
            <v>278</v>
          </cell>
          <cell r="T24">
            <v>2569</v>
          </cell>
          <cell r="U24">
            <v>2366</v>
          </cell>
          <cell r="V24">
            <v>15</v>
          </cell>
          <cell r="W24">
            <v>188</v>
          </cell>
          <cell r="X24">
            <v>2066</v>
          </cell>
          <cell r="Y24">
            <v>1968</v>
          </cell>
          <cell r="Z24">
            <v>15</v>
          </cell>
          <cell r="AA24">
            <v>83</v>
          </cell>
          <cell r="AB24">
            <v>1651</v>
          </cell>
          <cell r="AC24">
            <v>3288</v>
          </cell>
          <cell r="AD24">
            <v>1477</v>
          </cell>
          <cell r="AE24">
            <v>2730</v>
          </cell>
          <cell r="AF24">
            <v>646</v>
          </cell>
          <cell r="AG24">
            <v>1022</v>
          </cell>
          <cell r="AH24">
            <v>1175</v>
          </cell>
          <cell r="AI24">
            <v>983</v>
          </cell>
          <cell r="AJ24">
            <v>913</v>
          </cell>
          <cell r="AK24">
            <v>516</v>
          </cell>
          <cell r="AL24">
            <v>816</v>
          </cell>
          <cell r="AM24">
            <v>976</v>
          </cell>
          <cell r="AN24">
            <v>855</v>
          </cell>
          <cell r="AO24">
            <v>688</v>
          </cell>
          <cell r="AP24">
            <v>15274</v>
          </cell>
          <cell r="AQ24">
            <v>1550</v>
          </cell>
          <cell r="AR24">
            <v>7024</v>
          </cell>
          <cell r="AS24">
            <v>3080</v>
          </cell>
          <cell r="AT24">
            <v>8095</v>
          </cell>
          <cell r="AU24">
            <v>12262</v>
          </cell>
          <cell r="AV24">
            <v>1378</v>
          </cell>
          <cell r="AW24">
            <v>5855</v>
          </cell>
          <cell r="AX24">
            <v>2386</v>
          </cell>
          <cell r="AY24">
            <v>6201</v>
          </cell>
          <cell r="AZ24">
            <v>4457</v>
          </cell>
          <cell r="BA24">
            <v>533</v>
          </cell>
          <cell r="BB24">
            <v>1036</v>
          </cell>
          <cell r="BC24">
            <v>1498</v>
          </cell>
          <cell r="BD24">
            <v>1390</v>
          </cell>
          <cell r="BE24">
            <v>442</v>
          </cell>
          <cell r="BF24">
            <v>294</v>
          </cell>
          <cell r="BG24">
            <v>308</v>
          </cell>
          <cell r="BH24">
            <v>436</v>
          </cell>
          <cell r="BI24">
            <v>80</v>
          </cell>
          <cell r="BJ24">
            <v>731</v>
          </cell>
          <cell r="BK24">
            <v>1115</v>
          </cell>
          <cell r="BL24">
            <v>947</v>
          </cell>
          <cell r="BM24">
            <v>4739</v>
          </cell>
          <cell r="BN24">
            <v>1041</v>
          </cell>
          <cell r="BO24">
            <v>1302</v>
          </cell>
          <cell r="BP24">
            <v>884</v>
          </cell>
          <cell r="BQ24">
            <v>1512</v>
          </cell>
          <cell r="BR24">
            <v>728</v>
          </cell>
          <cell r="BS24">
            <v>448</v>
          </cell>
          <cell r="BT24">
            <v>336</v>
          </cell>
          <cell r="BU24">
            <v>9472</v>
          </cell>
          <cell r="BV24">
            <v>1775</v>
          </cell>
          <cell r="BW24">
            <v>2560</v>
          </cell>
          <cell r="BX24">
            <v>1967</v>
          </cell>
          <cell r="BY24">
            <v>3170</v>
          </cell>
          <cell r="BZ24">
            <v>2658</v>
          </cell>
          <cell r="CA24">
            <v>3679</v>
          </cell>
          <cell r="CB24">
            <v>2996</v>
          </cell>
          <cell r="CC24">
            <v>5941</v>
          </cell>
          <cell r="CD24">
            <v>1646</v>
          </cell>
          <cell r="CE24">
            <v>3014</v>
          </cell>
          <cell r="CF24">
            <v>1336</v>
          </cell>
          <cell r="CG24">
            <v>79</v>
          </cell>
          <cell r="CH24">
            <v>1436</v>
          </cell>
          <cell r="CI24">
            <v>2314</v>
          </cell>
          <cell r="CJ24">
            <v>1198</v>
          </cell>
          <cell r="CK24">
            <v>101</v>
          </cell>
          <cell r="CL24">
            <v>9472</v>
          </cell>
          <cell r="CM24">
            <v>3677</v>
          </cell>
          <cell r="CN24">
            <v>5667</v>
          </cell>
          <cell r="CO24">
            <v>2859</v>
          </cell>
          <cell r="CP24">
            <v>128</v>
          </cell>
          <cell r="CQ24">
            <v>45149</v>
          </cell>
          <cell r="CR24">
            <v>27043</v>
          </cell>
          <cell r="CS24">
            <v>17464</v>
          </cell>
          <cell r="CT24">
            <v>11435</v>
          </cell>
          <cell r="CU24">
            <v>642</v>
          </cell>
          <cell r="CV24">
            <v>4606</v>
          </cell>
          <cell r="CW24">
            <v>1088</v>
          </cell>
          <cell r="CX24">
            <v>1941</v>
          </cell>
          <cell r="CY24">
            <v>1533</v>
          </cell>
          <cell r="CZ24">
            <v>3708</v>
          </cell>
          <cell r="DA24">
            <v>1005</v>
          </cell>
          <cell r="DB24">
            <v>1726</v>
          </cell>
          <cell r="DC24">
            <v>855</v>
          </cell>
          <cell r="DD24">
            <v>2992</v>
          </cell>
          <cell r="DE24">
            <v>3799</v>
          </cell>
          <cell r="DF24">
            <v>2669</v>
          </cell>
          <cell r="DG24">
            <v>1130</v>
          </cell>
          <cell r="DH24">
            <v>3851</v>
          </cell>
          <cell r="DI24">
            <v>2219</v>
          </cell>
          <cell r="DJ24">
            <v>3042</v>
          </cell>
          <cell r="DK24">
            <v>2212</v>
          </cell>
          <cell r="DL24">
            <v>830</v>
          </cell>
        </row>
        <row r="25">
          <cell r="A25" t="str">
            <v>37203</v>
          </cell>
          <cell r="B25" t="str">
            <v>Rochecorbon</v>
          </cell>
          <cell r="C25" t="str">
            <v>Vouvrillon</v>
          </cell>
          <cell r="D25">
            <v>1397.314926</v>
          </cell>
          <cell r="E25">
            <v>1274.314926</v>
          </cell>
          <cell r="F25">
            <v>62.975999999999999</v>
          </cell>
          <cell r="G25">
            <v>60.024000000000001</v>
          </cell>
          <cell r="H25">
            <v>1269</v>
          </cell>
          <cell r="I25">
            <v>1151</v>
          </cell>
          <cell r="J25">
            <v>56</v>
          </cell>
          <cell r="K25">
            <v>62</v>
          </cell>
          <cell r="L25">
            <v>1139</v>
          </cell>
          <cell r="M25">
            <v>984</v>
          </cell>
          <cell r="N25">
            <v>97</v>
          </cell>
          <cell r="O25">
            <v>58</v>
          </cell>
          <cell r="P25">
            <v>1097</v>
          </cell>
          <cell r="Q25">
            <v>930</v>
          </cell>
          <cell r="R25">
            <v>103</v>
          </cell>
          <cell r="S25">
            <v>64</v>
          </cell>
          <cell r="T25">
            <v>855</v>
          </cell>
          <cell r="U25">
            <v>739</v>
          </cell>
          <cell r="V25">
            <v>73</v>
          </cell>
          <cell r="W25">
            <v>43</v>
          </cell>
          <cell r="X25">
            <v>883</v>
          </cell>
          <cell r="Y25">
            <v>712</v>
          </cell>
          <cell r="Z25">
            <v>107</v>
          </cell>
          <cell r="AA25">
            <v>64</v>
          </cell>
          <cell r="AB25">
            <v>1182.725678</v>
          </cell>
          <cell r="AC25">
            <v>210.662271</v>
          </cell>
          <cell r="AD25">
            <v>1087</v>
          </cell>
          <cell r="AE25">
            <v>141</v>
          </cell>
          <cell r="AF25">
            <v>39.179552000000001</v>
          </cell>
          <cell r="AG25">
            <v>86.195014</v>
          </cell>
          <cell r="AH25">
            <v>198.83622600000001</v>
          </cell>
          <cell r="AI25">
            <v>301.68254999999999</v>
          </cell>
          <cell r="AJ25">
            <v>648.42158400000005</v>
          </cell>
          <cell r="AK25">
            <v>55</v>
          </cell>
          <cell r="AL25">
            <v>95</v>
          </cell>
          <cell r="AM25">
            <v>216</v>
          </cell>
          <cell r="AN25">
            <v>287</v>
          </cell>
          <cell r="AO25">
            <v>498</v>
          </cell>
          <cell r="AP25">
            <v>5992.5124640000004</v>
          </cell>
          <cell r="AQ25">
            <v>1077.437678</v>
          </cell>
          <cell r="AR25">
            <v>5382.2909440000003</v>
          </cell>
          <cell r="AS25">
            <v>194.918271</v>
          </cell>
          <cell r="AT25">
            <v>607.28305499999999</v>
          </cell>
          <cell r="AU25">
            <v>5070</v>
          </cell>
          <cell r="AV25">
            <v>977</v>
          </cell>
          <cell r="AW25">
            <v>4559</v>
          </cell>
          <cell r="AX25">
            <v>135</v>
          </cell>
          <cell r="AY25">
            <v>407</v>
          </cell>
          <cell r="AZ25">
            <v>1198.894288</v>
          </cell>
          <cell r="BA25">
            <v>413.34427299999999</v>
          </cell>
          <cell r="BB25">
            <v>302.662038</v>
          </cell>
          <cell r="BC25">
            <v>226.261912</v>
          </cell>
          <cell r="BD25">
            <v>256.62606499999998</v>
          </cell>
          <cell r="BE25">
            <v>391.79551900000001</v>
          </cell>
          <cell r="BF25">
            <v>223.32344599999999</v>
          </cell>
          <cell r="BG25">
            <v>209.610603</v>
          </cell>
          <cell r="BH25">
            <v>205.69264799999999</v>
          </cell>
          <cell r="BI25">
            <v>20.569265000000001</v>
          </cell>
          <cell r="BJ25">
            <v>79.338593000000003</v>
          </cell>
          <cell r="BK25">
            <v>16.651309999999999</v>
          </cell>
          <cell r="BL25">
            <v>49.953929000000002</v>
          </cell>
          <cell r="BM25">
            <v>1274.314926</v>
          </cell>
          <cell r="BN25">
            <v>119.49763299999999</v>
          </cell>
          <cell r="BO25">
            <v>251.728621</v>
          </cell>
          <cell r="BP25">
            <v>204.71315899999999</v>
          </cell>
          <cell r="BQ25">
            <v>698.37551299999996</v>
          </cell>
          <cell r="BR25">
            <v>263.48248699999999</v>
          </cell>
          <cell r="BS25">
            <v>161.61565200000001</v>
          </cell>
          <cell r="BT25">
            <v>273.27737500000001</v>
          </cell>
          <cell r="BU25">
            <v>3104</v>
          </cell>
          <cell r="BV25">
            <v>279.15430700000002</v>
          </cell>
          <cell r="BW25">
            <v>677.80624799999998</v>
          </cell>
          <cell r="BX25">
            <v>570.06248000000005</v>
          </cell>
          <cell r="BY25">
            <v>1576.976964</v>
          </cell>
          <cell r="BZ25">
            <v>467.21615700000001</v>
          </cell>
          <cell r="CA25">
            <v>1102.9043859999999</v>
          </cell>
          <cell r="CB25">
            <v>955.98106700000005</v>
          </cell>
          <cell r="CC25">
            <v>3466.4108550000001</v>
          </cell>
          <cell r="CD25">
            <v>949.12464499999999</v>
          </cell>
          <cell r="CE25">
            <v>300.70306099999999</v>
          </cell>
          <cell r="CF25">
            <v>145.94383099999999</v>
          </cell>
          <cell r="CG25">
            <v>24.487220000000001</v>
          </cell>
          <cell r="CH25">
            <v>860</v>
          </cell>
          <cell r="CI25">
            <v>251</v>
          </cell>
          <cell r="CJ25">
            <v>95</v>
          </cell>
          <cell r="CK25">
            <v>40</v>
          </cell>
          <cell r="CL25">
            <v>3104</v>
          </cell>
          <cell r="CM25">
            <v>2404.6449980000002</v>
          </cell>
          <cell r="CN25">
            <v>652.33953899999995</v>
          </cell>
          <cell r="CO25">
            <v>338.90312399999999</v>
          </cell>
          <cell r="CP25">
            <v>47.015461999999999</v>
          </cell>
          <cell r="CQ25">
            <v>20704.434206000002</v>
          </cell>
          <cell r="CR25">
            <v>18361.497002</v>
          </cell>
          <cell r="CS25">
            <v>1870.8236039999999</v>
          </cell>
          <cell r="CT25">
            <v>1069.6017670000001</v>
          </cell>
          <cell r="CU25">
            <v>472.11360100000002</v>
          </cell>
          <cell r="CV25">
            <v>1246.88924</v>
          </cell>
          <cell r="CW25">
            <v>67.584727000000001</v>
          </cell>
          <cell r="CX25">
            <v>687.601136</v>
          </cell>
          <cell r="CY25">
            <v>391.79551900000001</v>
          </cell>
          <cell r="CZ25">
            <v>1099</v>
          </cell>
          <cell r="DA25">
            <v>54</v>
          </cell>
          <cell r="DB25">
            <v>602</v>
          </cell>
          <cell r="DC25">
            <v>326</v>
          </cell>
          <cell r="DD25">
            <v>926.59640300000001</v>
          </cell>
          <cell r="DE25">
            <v>1180.284001</v>
          </cell>
          <cell r="DF25">
            <v>519.12906299999997</v>
          </cell>
          <cell r="DG25">
            <v>661.15493800000002</v>
          </cell>
          <cell r="DH25">
            <v>1151</v>
          </cell>
          <cell r="DI25">
            <v>840</v>
          </cell>
          <cell r="DJ25">
            <v>1032</v>
          </cell>
          <cell r="DK25">
            <v>478</v>
          </cell>
          <cell r="DL25">
            <v>554</v>
          </cell>
        </row>
        <row r="26">
          <cell r="A26" t="str">
            <v>37208</v>
          </cell>
          <cell r="B26" t="str">
            <v>Saint-Avertin</v>
          </cell>
          <cell r="C26" t="str">
            <v>Tour(s)plus</v>
          </cell>
          <cell r="D26">
            <v>6046</v>
          </cell>
          <cell r="E26">
            <v>5731.0743480000001</v>
          </cell>
          <cell r="F26">
            <v>86.728660000000005</v>
          </cell>
          <cell r="G26">
            <v>228.19699199999999</v>
          </cell>
          <cell r="H26">
            <v>5680</v>
          </cell>
          <cell r="I26">
            <v>5339</v>
          </cell>
          <cell r="J26">
            <v>125</v>
          </cell>
          <cell r="K26">
            <v>216</v>
          </cell>
          <cell r="L26">
            <v>4583</v>
          </cell>
          <cell r="M26">
            <v>4335</v>
          </cell>
          <cell r="N26">
            <v>88</v>
          </cell>
          <cell r="O26">
            <v>160</v>
          </cell>
          <cell r="P26">
            <v>3719</v>
          </cell>
          <cell r="Q26">
            <v>3397</v>
          </cell>
          <cell r="R26">
            <v>62</v>
          </cell>
          <cell r="S26">
            <v>260</v>
          </cell>
          <cell r="T26">
            <v>2895</v>
          </cell>
          <cell r="U26">
            <v>2640</v>
          </cell>
          <cell r="V26">
            <v>94</v>
          </cell>
          <cell r="W26">
            <v>161</v>
          </cell>
          <cell r="X26">
            <v>2287</v>
          </cell>
          <cell r="Y26">
            <v>2067</v>
          </cell>
          <cell r="Z26">
            <v>104</v>
          </cell>
          <cell r="AA26">
            <v>116</v>
          </cell>
          <cell r="AB26">
            <v>4458.0574219999999</v>
          </cell>
          <cell r="AC26">
            <v>1577.4806249999999</v>
          </cell>
          <cell r="AD26">
            <v>4133</v>
          </cell>
          <cell r="AE26">
            <v>1402</v>
          </cell>
          <cell r="AF26">
            <v>216.73677900000001</v>
          </cell>
          <cell r="AG26">
            <v>400.33069499999999</v>
          </cell>
          <cell r="AH26">
            <v>784.18915000000004</v>
          </cell>
          <cell r="AI26">
            <v>1287.3195390000001</v>
          </cell>
          <cell r="AJ26">
            <v>3042.4981849999999</v>
          </cell>
          <cell r="AK26">
            <v>180</v>
          </cell>
          <cell r="AL26">
            <v>406</v>
          </cell>
          <cell r="AM26">
            <v>783</v>
          </cell>
          <cell r="AN26">
            <v>1349</v>
          </cell>
          <cell r="AO26">
            <v>2621</v>
          </cell>
          <cell r="AP26">
            <v>26899.285013000001</v>
          </cell>
          <cell r="AQ26">
            <v>4279.8273950000003</v>
          </cell>
          <cell r="AR26">
            <v>22742.368536000002</v>
          </cell>
          <cell r="AS26">
            <v>1446.703004</v>
          </cell>
          <cell r="AT26">
            <v>4146.828579</v>
          </cell>
          <cell r="AU26">
            <v>24226</v>
          </cell>
          <cell r="AV26">
            <v>3951</v>
          </cell>
          <cell r="AW26">
            <v>20103</v>
          </cell>
          <cell r="AX26">
            <v>1265</v>
          </cell>
          <cell r="AY26">
            <v>3892</v>
          </cell>
          <cell r="AZ26">
            <v>5668.2592949999998</v>
          </cell>
          <cell r="BA26">
            <v>755.37192700000003</v>
          </cell>
          <cell r="BB26">
            <v>1700.102214</v>
          </cell>
          <cell r="BC26">
            <v>1916.7059770000001</v>
          </cell>
          <cell r="BD26">
            <v>1296.0791770000001</v>
          </cell>
          <cell r="BE26">
            <v>631.59849999999994</v>
          </cell>
          <cell r="BF26">
            <v>1374.6296970000001</v>
          </cell>
          <cell r="BG26">
            <v>1248.1132660000001</v>
          </cell>
          <cell r="BH26">
            <v>978.78079600000001</v>
          </cell>
          <cell r="BI26">
            <v>123.773427</v>
          </cell>
          <cell r="BJ26">
            <v>325.47251699999998</v>
          </cell>
          <cell r="BK26">
            <v>667.59271100000001</v>
          </cell>
          <cell r="BL26">
            <v>313.75443200000001</v>
          </cell>
          <cell r="BM26">
            <v>5731.0743480000001</v>
          </cell>
          <cell r="BN26">
            <v>594.93825100000004</v>
          </cell>
          <cell r="BO26">
            <v>1001.438803</v>
          </cell>
          <cell r="BP26">
            <v>1078.784138</v>
          </cell>
          <cell r="BQ26">
            <v>3055.9131560000001</v>
          </cell>
          <cell r="BR26">
            <v>1379.381466</v>
          </cell>
          <cell r="BS26">
            <v>775.77153199999998</v>
          </cell>
          <cell r="BT26">
            <v>900.76015700000005</v>
          </cell>
          <cell r="BU26">
            <v>13737.223963</v>
          </cell>
          <cell r="BV26">
            <v>1335.3150889999999</v>
          </cell>
          <cell r="BW26">
            <v>2582.1862980000001</v>
          </cell>
          <cell r="BX26">
            <v>2971.6293679999999</v>
          </cell>
          <cell r="BY26">
            <v>6848.0932080000002</v>
          </cell>
          <cell r="BZ26">
            <v>2141.2573619999998</v>
          </cell>
          <cell r="CA26">
            <v>4149.4042090000003</v>
          </cell>
          <cell r="CB26">
            <v>5177.5280419999999</v>
          </cell>
          <cell r="CC26">
            <v>15431.0954</v>
          </cell>
          <cell r="CD26">
            <v>4044.8027929999998</v>
          </cell>
          <cell r="CE26">
            <v>1614.460012</v>
          </cell>
          <cell r="CF26">
            <v>576.74173699999994</v>
          </cell>
          <cell r="CG26">
            <v>71.811543</v>
          </cell>
          <cell r="CH26">
            <v>3709</v>
          </cell>
          <cell r="CI26">
            <v>1536</v>
          </cell>
          <cell r="CJ26">
            <v>617</v>
          </cell>
          <cell r="CK26">
            <v>94</v>
          </cell>
          <cell r="CL26">
            <v>13737.223963</v>
          </cell>
          <cell r="CM26">
            <v>10079.542546000001</v>
          </cell>
          <cell r="CN26">
            <v>3522.6978410000002</v>
          </cell>
          <cell r="CO26">
            <v>1376.8135709999999</v>
          </cell>
          <cell r="CP26">
            <v>134.983576</v>
          </cell>
          <cell r="CQ26">
            <v>83918.346145000003</v>
          </cell>
          <cell r="CR26">
            <v>72366.299079999997</v>
          </cell>
          <cell r="CS26">
            <v>10580.631737</v>
          </cell>
          <cell r="CT26">
            <v>5635.1494940000002</v>
          </cell>
          <cell r="CU26">
            <v>971.41532900000004</v>
          </cell>
          <cell r="CV26">
            <v>5697.9203829999997</v>
          </cell>
          <cell r="CW26">
            <v>467.45255400000002</v>
          </cell>
          <cell r="CX26">
            <v>3500.6182899999999</v>
          </cell>
          <cell r="CY26">
            <v>1573.8009420000001</v>
          </cell>
          <cell r="CZ26">
            <v>5282</v>
          </cell>
          <cell r="DA26">
            <v>587</v>
          </cell>
          <cell r="DB26">
            <v>2913</v>
          </cell>
          <cell r="DC26">
            <v>1556</v>
          </cell>
          <cell r="DD26">
            <v>4492.6954429999996</v>
          </cell>
          <cell r="DE26">
            <v>5281.708224</v>
          </cell>
          <cell r="DF26">
            <v>2611.0350819999999</v>
          </cell>
          <cell r="DG26">
            <v>2670.6731420000001</v>
          </cell>
          <cell r="DH26">
            <v>5339</v>
          </cell>
          <cell r="DI26">
            <v>4208</v>
          </cell>
          <cell r="DJ26">
            <v>4908</v>
          </cell>
          <cell r="DK26">
            <v>2361</v>
          </cell>
          <cell r="DL26">
            <v>2547</v>
          </cell>
        </row>
        <row r="27">
          <cell r="A27" t="str">
            <v>37211</v>
          </cell>
          <cell r="B27" t="str">
            <v>Saint-Branchs</v>
          </cell>
          <cell r="C27" t="str">
            <v>CC du Val de l'Indre</v>
          </cell>
          <cell r="D27">
            <v>984.49066200000004</v>
          </cell>
          <cell r="E27">
            <v>908.49066200000004</v>
          </cell>
          <cell r="F27">
            <v>35.764705999999997</v>
          </cell>
          <cell r="G27">
            <v>40.235294000000003</v>
          </cell>
          <cell r="H27">
            <v>909</v>
          </cell>
          <cell r="I27">
            <v>801</v>
          </cell>
          <cell r="J27">
            <v>42</v>
          </cell>
          <cell r="K27">
            <v>66</v>
          </cell>
          <cell r="L27">
            <v>839</v>
          </cell>
          <cell r="M27">
            <v>729</v>
          </cell>
          <cell r="N27">
            <v>48</v>
          </cell>
          <cell r="O27">
            <v>62</v>
          </cell>
          <cell r="P27">
            <v>697</v>
          </cell>
          <cell r="Q27">
            <v>569</v>
          </cell>
          <cell r="R27">
            <v>45</v>
          </cell>
          <cell r="S27">
            <v>83</v>
          </cell>
          <cell r="T27">
            <v>563</v>
          </cell>
          <cell r="U27">
            <v>471</v>
          </cell>
          <cell r="V27">
            <v>39</v>
          </cell>
          <cell r="W27">
            <v>53</v>
          </cell>
          <cell r="X27">
            <v>541</v>
          </cell>
          <cell r="Y27">
            <v>476</v>
          </cell>
          <cell r="Z27">
            <v>25</v>
          </cell>
          <cell r="AA27">
            <v>40</v>
          </cell>
          <cell r="AB27">
            <v>892.55917299999999</v>
          </cell>
          <cell r="AC27">
            <v>82.660042000000004</v>
          </cell>
          <cell r="AD27">
            <v>838</v>
          </cell>
          <cell r="AE27">
            <v>45</v>
          </cell>
          <cell r="AF27">
            <v>21.701187999999998</v>
          </cell>
          <cell r="AG27">
            <v>26.633277</v>
          </cell>
          <cell r="AH27">
            <v>118.370119</v>
          </cell>
          <cell r="AI27">
            <v>264.35993200000001</v>
          </cell>
          <cell r="AJ27">
            <v>477.42614600000002</v>
          </cell>
          <cell r="AK27">
            <v>17</v>
          </cell>
          <cell r="AL27">
            <v>40</v>
          </cell>
          <cell r="AM27">
            <v>149</v>
          </cell>
          <cell r="AN27">
            <v>260</v>
          </cell>
          <cell r="AO27">
            <v>335</v>
          </cell>
          <cell r="AP27">
            <v>4249.4872670000004</v>
          </cell>
          <cell r="AQ27">
            <v>826.61799699999995</v>
          </cell>
          <cell r="AR27">
            <v>4021.6247880000001</v>
          </cell>
          <cell r="AS27">
            <v>75.954160000000002</v>
          </cell>
          <cell r="AT27">
            <v>206.16129000000001</v>
          </cell>
          <cell r="AU27">
            <v>3501</v>
          </cell>
          <cell r="AV27">
            <v>742</v>
          </cell>
          <cell r="AW27">
            <v>3343</v>
          </cell>
          <cell r="AX27">
            <v>41</v>
          </cell>
          <cell r="AY27">
            <v>116</v>
          </cell>
          <cell r="AZ27">
            <v>854.23769100000004</v>
          </cell>
          <cell r="BA27">
            <v>325.51782700000001</v>
          </cell>
          <cell r="BB27">
            <v>121.32937200000001</v>
          </cell>
          <cell r="BC27">
            <v>280.14261499999998</v>
          </cell>
          <cell r="BD27">
            <v>127.247878</v>
          </cell>
          <cell r="BE27">
            <v>315.65365000000003</v>
          </cell>
          <cell r="BF27">
            <v>106.533107</v>
          </cell>
          <cell r="BG27">
            <v>234.767402</v>
          </cell>
          <cell r="BH27">
            <v>126.26146</v>
          </cell>
          <cell r="BI27">
            <v>7.8913409999999997</v>
          </cell>
          <cell r="BJ27">
            <v>11.837012</v>
          </cell>
          <cell r="BK27">
            <v>44.388795000000002</v>
          </cell>
          <cell r="BL27">
            <v>0.98641800000000002</v>
          </cell>
          <cell r="BM27">
            <v>908.49066200000004</v>
          </cell>
          <cell r="BN27">
            <v>93.709676999999999</v>
          </cell>
          <cell r="BO27">
            <v>139.08489</v>
          </cell>
          <cell r="BP27">
            <v>144.01697799999999</v>
          </cell>
          <cell r="BQ27">
            <v>531.67911700000002</v>
          </cell>
          <cell r="BR27">
            <v>181.50084899999999</v>
          </cell>
          <cell r="BS27">
            <v>182.487267</v>
          </cell>
          <cell r="BT27">
            <v>167.691002</v>
          </cell>
          <cell r="BU27">
            <v>2324</v>
          </cell>
          <cell r="BV27">
            <v>245.617997</v>
          </cell>
          <cell r="BW27">
            <v>385.68930399999999</v>
          </cell>
          <cell r="BX27">
            <v>438.95585699999998</v>
          </cell>
          <cell r="BY27">
            <v>1253.736842</v>
          </cell>
          <cell r="BZ27">
            <v>398.51273300000003</v>
          </cell>
          <cell r="CA27">
            <v>629.33446500000002</v>
          </cell>
          <cell r="CB27">
            <v>680.62818300000004</v>
          </cell>
          <cell r="CC27">
            <v>2541.0118849999999</v>
          </cell>
          <cell r="CD27">
            <v>704.30220699999995</v>
          </cell>
          <cell r="CE27">
            <v>199.25636700000001</v>
          </cell>
          <cell r="CF27">
            <v>102.587436</v>
          </cell>
          <cell r="CG27">
            <v>4.9320880000000002</v>
          </cell>
          <cell r="CH27">
            <v>600</v>
          </cell>
          <cell r="CI27">
            <v>180</v>
          </cell>
          <cell r="CJ27">
            <v>88</v>
          </cell>
          <cell r="CK27">
            <v>21</v>
          </cell>
          <cell r="CL27">
            <v>2324</v>
          </cell>
          <cell r="CM27">
            <v>1898.8539900000001</v>
          </cell>
          <cell r="CN27">
            <v>416.26825100000002</v>
          </cell>
          <cell r="CO27">
            <v>201.22920199999999</v>
          </cell>
          <cell r="CP27">
            <v>8.8777589999999993</v>
          </cell>
          <cell r="CQ27">
            <v>16064.797963000001</v>
          </cell>
          <cell r="CR27">
            <v>13851.276739999999</v>
          </cell>
          <cell r="CS27">
            <v>2029.061121</v>
          </cell>
          <cell r="CT27">
            <v>1377.039049</v>
          </cell>
          <cell r="CU27">
            <v>184.46010200000001</v>
          </cell>
          <cell r="CV27">
            <v>879.88454999999999</v>
          </cell>
          <cell r="CW27">
            <v>19.728352999999998</v>
          </cell>
          <cell r="CX27">
            <v>398.51273300000003</v>
          </cell>
          <cell r="CY27">
            <v>276.19694399999997</v>
          </cell>
          <cell r="CZ27">
            <v>756</v>
          </cell>
          <cell r="DA27">
            <v>17</v>
          </cell>
          <cell r="DB27">
            <v>338</v>
          </cell>
          <cell r="DC27">
            <v>184</v>
          </cell>
          <cell r="DD27">
            <v>674.70967700000006</v>
          </cell>
          <cell r="DE27">
            <v>836.48217299999999</v>
          </cell>
          <cell r="DF27">
            <v>338.34125599999999</v>
          </cell>
          <cell r="DG27">
            <v>498.140917</v>
          </cell>
          <cell r="DH27">
            <v>801</v>
          </cell>
          <cell r="DI27">
            <v>591</v>
          </cell>
          <cell r="DJ27">
            <v>725</v>
          </cell>
          <cell r="DK27">
            <v>333</v>
          </cell>
          <cell r="DL27">
            <v>392</v>
          </cell>
        </row>
        <row r="28">
          <cell r="A28" t="str">
            <v>37214</v>
          </cell>
          <cell r="B28" t="str">
            <v>Saint-Cyr-sur-Loire</v>
          </cell>
          <cell r="C28" t="str">
            <v>Tour(s)plus</v>
          </cell>
          <cell r="D28">
            <v>8011</v>
          </cell>
          <cell r="E28">
            <v>7493.418557</v>
          </cell>
          <cell r="F28">
            <v>127.27863000000001</v>
          </cell>
          <cell r="G28">
            <v>390.30281300000001</v>
          </cell>
          <cell r="H28">
            <v>7332</v>
          </cell>
          <cell r="I28">
            <v>6847</v>
          </cell>
          <cell r="J28">
            <v>126</v>
          </cell>
          <cell r="K28">
            <v>359</v>
          </cell>
          <cell r="L28">
            <v>6481</v>
          </cell>
          <cell r="M28">
            <v>6071</v>
          </cell>
          <cell r="N28">
            <v>161</v>
          </cell>
          <cell r="O28">
            <v>249</v>
          </cell>
          <cell r="P28">
            <v>5897</v>
          </cell>
          <cell r="Q28">
            <v>5390</v>
          </cell>
          <cell r="R28">
            <v>132</v>
          </cell>
          <cell r="S28">
            <v>375</v>
          </cell>
          <cell r="T28">
            <v>4595</v>
          </cell>
          <cell r="U28">
            <v>4252</v>
          </cell>
          <cell r="V28">
            <v>98</v>
          </cell>
          <cell r="W28">
            <v>245</v>
          </cell>
          <cell r="X28">
            <v>3588</v>
          </cell>
          <cell r="Y28">
            <v>3356</v>
          </cell>
          <cell r="Z28">
            <v>48</v>
          </cell>
          <cell r="AA28">
            <v>184</v>
          </cell>
          <cell r="AB28">
            <v>4208.3473640000002</v>
          </cell>
          <cell r="AC28">
            <v>3779.569587</v>
          </cell>
          <cell r="AD28">
            <v>3894</v>
          </cell>
          <cell r="AE28">
            <v>3262</v>
          </cell>
          <cell r="AF28">
            <v>335.749258</v>
          </cell>
          <cell r="AG28">
            <v>852.42006300000003</v>
          </cell>
          <cell r="AH28">
            <v>1615.101271</v>
          </cell>
          <cell r="AI28">
            <v>1761.570594</v>
          </cell>
          <cell r="AJ28">
            <v>2928.5773709999999</v>
          </cell>
          <cell r="AK28">
            <v>384</v>
          </cell>
          <cell r="AL28">
            <v>849</v>
          </cell>
          <cell r="AM28">
            <v>1510</v>
          </cell>
          <cell r="AN28">
            <v>1780</v>
          </cell>
          <cell r="AO28">
            <v>2324</v>
          </cell>
          <cell r="AP28">
            <v>31613.248685999999</v>
          </cell>
          <cell r="AQ28">
            <v>4032.9190149999999</v>
          </cell>
          <cell r="AR28">
            <v>21074.339523999999</v>
          </cell>
          <cell r="AS28">
            <v>3442.0919939999999</v>
          </cell>
          <cell r="AT28">
            <v>10479.362696</v>
          </cell>
          <cell r="AU28">
            <v>27434</v>
          </cell>
          <cell r="AV28">
            <v>3708</v>
          </cell>
          <cell r="AW28">
            <v>18165</v>
          </cell>
          <cell r="AX28">
            <v>2984</v>
          </cell>
          <cell r="AY28">
            <v>8987</v>
          </cell>
          <cell r="AZ28">
            <v>7416.8312889999997</v>
          </cell>
          <cell r="BA28">
            <v>1082.703618</v>
          </cell>
          <cell r="BB28">
            <v>2873.4812619999998</v>
          </cell>
          <cell r="BC28">
            <v>2029.8091480000001</v>
          </cell>
          <cell r="BD28">
            <v>1430.83726</v>
          </cell>
          <cell r="BE28">
            <v>1000.939785</v>
          </cell>
          <cell r="BF28">
            <v>1228.8115359999999</v>
          </cell>
          <cell r="BG28">
            <v>1080.0863099999999</v>
          </cell>
          <cell r="BH28">
            <v>681.60655199999997</v>
          </cell>
          <cell r="BI28">
            <v>81.763834000000003</v>
          </cell>
          <cell r="BJ28">
            <v>1637.694283</v>
          </cell>
          <cell r="BK28">
            <v>941.42243800000006</v>
          </cell>
          <cell r="BL28">
            <v>746.09900200000004</v>
          </cell>
          <cell r="BM28">
            <v>7493.418557</v>
          </cell>
          <cell r="BN28">
            <v>962.15004599999997</v>
          </cell>
          <cell r="BO28">
            <v>1595.8308810000001</v>
          </cell>
          <cell r="BP28">
            <v>1363.909451</v>
          </cell>
          <cell r="BQ28">
            <v>3571.528178</v>
          </cell>
          <cell r="BR28">
            <v>1451.8681220000001</v>
          </cell>
          <cell r="BS28">
            <v>1002.648295</v>
          </cell>
          <cell r="BT28">
            <v>1117.0117620000001</v>
          </cell>
          <cell r="BU28">
            <v>15983.984571999999</v>
          </cell>
          <cell r="BV28">
            <v>1867.634155</v>
          </cell>
          <cell r="BW28">
            <v>3508.9079190000002</v>
          </cell>
          <cell r="BX28">
            <v>3429.3334730000001</v>
          </cell>
          <cell r="BY28">
            <v>7178.1090260000001</v>
          </cell>
          <cell r="BZ28">
            <v>3133.410887</v>
          </cell>
          <cell r="CA28">
            <v>5852.3831659999996</v>
          </cell>
          <cell r="CB28">
            <v>6119.4082319999998</v>
          </cell>
          <cell r="CC28">
            <v>16508.046401</v>
          </cell>
          <cell r="CD28">
            <v>4603.8561909999999</v>
          </cell>
          <cell r="CE28">
            <v>2791.5544829999999</v>
          </cell>
          <cell r="CF28">
            <v>1081.855313</v>
          </cell>
          <cell r="CG28">
            <v>98.007884000000004</v>
          </cell>
          <cell r="CH28">
            <v>4074</v>
          </cell>
          <cell r="CI28">
            <v>2620</v>
          </cell>
          <cell r="CJ28">
            <v>1114</v>
          </cell>
          <cell r="CK28">
            <v>153</v>
          </cell>
          <cell r="CL28">
            <v>15983.984571999999</v>
          </cell>
          <cell r="CM28">
            <v>10600.107184</v>
          </cell>
          <cell r="CN28">
            <v>5222.7192180000002</v>
          </cell>
          <cell r="CO28">
            <v>2157.1498259999998</v>
          </cell>
          <cell r="CP28">
            <v>161.15817100000001</v>
          </cell>
          <cell r="CQ28">
            <v>104923.912459</v>
          </cell>
          <cell r="CR28">
            <v>84348.663079999998</v>
          </cell>
          <cell r="CS28">
            <v>19965.387685000002</v>
          </cell>
          <cell r="CT28">
            <v>12064.285363000001</v>
          </cell>
          <cell r="CU28">
            <v>609.86169400000006</v>
          </cell>
          <cell r="CV28">
            <v>7339.8019919999997</v>
          </cell>
          <cell r="CW28">
            <v>1459.677788</v>
          </cell>
          <cell r="CX28">
            <v>4272.3117469999997</v>
          </cell>
          <cell r="CY28">
            <v>1609.044502</v>
          </cell>
          <cell r="CZ28">
            <v>6723</v>
          </cell>
          <cell r="DA28">
            <v>1532</v>
          </cell>
          <cell r="DB28">
            <v>3779</v>
          </cell>
          <cell r="DC28">
            <v>1294</v>
          </cell>
          <cell r="DD28">
            <v>5500.4513539999998</v>
          </cell>
          <cell r="DE28">
            <v>6577.2797170000003</v>
          </cell>
          <cell r="DF28">
            <v>3879.9219549999998</v>
          </cell>
          <cell r="DG28">
            <v>2697.3577610000002</v>
          </cell>
          <cell r="DH28">
            <v>6847</v>
          </cell>
          <cell r="DI28">
            <v>4885</v>
          </cell>
          <cell r="DJ28">
            <v>5934</v>
          </cell>
          <cell r="DK28">
            <v>3592</v>
          </cell>
          <cell r="DL28">
            <v>2342</v>
          </cell>
        </row>
        <row r="29">
          <cell r="A29" t="str">
            <v>37217</v>
          </cell>
          <cell r="B29" t="str">
            <v>Saint-Étienne-de-Chigny</v>
          </cell>
          <cell r="C29" t="str">
            <v>Tour(s)plus</v>
          </cell>
          <cell r="D29">
            <v>598</v>
          </cell>
          <cell r="E29">
            <v>515</v>
          </cell>
          <cell r="F29">
            <v>40</v>
          </cell>
          <cell r="G29">
            <v>43</v>
          </cell>
          <cell r="H29">
            <v>583</v>
          </cell>
          <cell r="I29">
            <v>478</v>
          </cell>
          <cell r="J29">
            <v>61</v>
          </cell>
          <cell r="K29">
            <v>44</v>
          </cell>
          <cell r="L29">
            <v>527</v>
          </cell>
          <cell r="M29">
            <v>410</v>
          </cell>
          <cell r="N29">
            <v>61</v>
          </cell>
          <cell r="O29">
            <v>56</v>
          </cell>
          <cell r="P29">
            <v>444</v>
          </cell>
          <cell r="Q29">
            <v>303</v>
          </cell>
          <cell r="R29">
            <v>80</v>
          </cell>
          <cell r="S29">
            <v>61</v>
          </cell>
          <cell r="T29">
            <v>342</v>
          </cell>
          <cell r="U29">
            <v>228</v>
          </cell>
          <cell r="V29">
            <v>93</v>
          </cell>
          <cell r="W29">
            <v>21</v>
          </cell>
          <cell r="X29">
            <v>343</v>
          </cell>
          <cell r="Y29">
            <v>229</v>
          </cell>
          <cell r="Z29">
            <v>92</v>
          </cell>
          <cell r="AA29">
            <v>22</v>
          </cell>
          <cell r="AB29">
            <v>545</v>
          </cell>
          <cell r="AC29">
            <v>49</v>
          </cell>
          <cell r="AD29">
            <v>531</v>
          </cell>
          <cell r="AE29">
            <v>43</v>
          </cell>
          <cell r="AF29">
            <v>14</v>
          </cell>
          <cell r="AG29">
            <v>31</v>
          </cell>
          <cell r="AH29">
            <v>79</v>
          </cell>
          <cell r="AI29">
            <v>123</v>
          </cell>
          <cell r="AJ29">
            <v>268</v>
          </cell>
          <cell r="AK29">
            <v>10</v>
          </cell>
          <cell r="AL29">
            <v>37</v>
          </cell>
          <cell r="AM29">
            <v>111</v>
          </cell>
          <cell r="AN29">
            <v>118</v>
          </cell>
          <cell r="AO29">
            <v>202</v>
          </cell>
          <cell r="AP29">
            <v>2347</v>
          </cell>
          <cell r="AQ29">
            <v>463</v>
          </cell>
          <cell r="AR29">
            <v>2208</v>
          </cell>
          <cell r="AS29">
            <v>48</v>
          </cell>
          <cell r="AT29">
            <v>129</v>
          </cell>
          <cell r="AU29">
            <v>2038</v>
          </cell>
          <cell r="AV29">
            <v>432</v>
          </cell>
          <cell r="AW29">
            <v>1921</v>
          </cell>
          <cell r="AX29">
            <v>38</v>
          </cell>
          <cell r="AY29">
            <v>94</v>
          </cell>
          <cell r="AZ29">
            <v>508</v>
          </cell>
          <cell r="BA29">
            <v>163</v>
          </cell>
          <cell r="BB29">
            <v>32</v>
          </cell>
          <cell r="BC29">
            <v>214</v>
          </cell>
          <cell r="BD29">
            <v>99</v>
          </cell>
          <cell r="BE29">
            <v>159</v>
          </cell>
          <cell r="BF29">
            <v>31</v>
          </cell>
          <cell r="BG29">
            <v>185</v>
          </cell>
          <cell r="BH29">
            <v>81</v>
          </cell>
          <cell r="BI29">
            <v>2</v>
          </cell>
          <cell r="BJ29">
            <v>1</v>
          </cell>
          <cell r="BK29">
            <v>27</v>
          </cell>
          <cell r="BL29">
            <v>18</v>
          </cell>
          <cell r="BM29">
            <v>515</v>
          </cell>
          <cell r="BN29">
            <v>39</v>
          </cell>
          <cell r="BO29">
            <v>92</v>
          </cell>
          <cell r="BP29">
            <v>136</v>
          </cell>
          <cell r="BQ29">
            <v>248</v>
          </cell>
          <cell r="BR29">
            <v>125</v>
          </cell>
          <cell r="BS29">
            <v>89</v>
          </cell>
          <cell r="BT29">
            <v>34</v>
          </cell>
          <cell r="BU29">
            <v>1364</v>
          </cell>
          <cell r="BV29">
            <v>83</v>
          </cell>
          <cell r="BW29">
            <v>249</v>
          </cell>
          <cell r="BX29">
            <v>418</v>
          </cell>
          <cell r="BY29">
            <v>614</v>
          </cell>
          <cell r="BZ29">
            <v>161</v>
          </cell>
          <cell r="CA29">
            <v>392</v>
          </cell>
          <cell r="CB29">
            <v>620</v>
          </cell>
          <cell r="CC29">
            <v>1174</v>
          </cell>
          <cell r="CD29">
            <v>366</v>
          </cell>
          <cell r="CE29">
            <v>137</v>
          </cell>
          <cell r="CF29">
            <v>96</v>
          </cell>
          <cell r="CG29">
            <v>12</v>
          </cell>
          <cell r="CH29">
            <v>326</v>
          </cell>
          <cell r="CI29">
            <v>140</v>
          </cell>
          <cell r="CJ29">
            <v>99</v>
          </cell>
          <cell r="CK29">
            <v>12</v>
          </cell>
          <cell r="CL29">
            <v>1364</v>
          </cell>
          <cell r="CM29">
            <v>1007</v>
          </cell>
          <cell r="CN29">
            <v>323</v>
          </cell>
          <cell r="CO29">
            <v>226</v>
          </cell>
          <cell r="CP29">
            <v>34</v>
          </cell>
          <cell r="CQ29">
            <v>6554</v>
          </cell>
          <cell r="CR29">
            <v>5357</v>
          </cell>
          <cell r="CS29">
            <v>1095</v>
          </cell>
          <cell r="CT29">
            <v>722</v>
          </cell>
          <cell r="CU29">
            <v>102</v>
          </cell>
          <cell r="CV29">
            <v>494</v>
          </cell>
          <cell r="CW29">
            <v>7</v>
          </cell>
          <cell r="CX29">
            <v>165</v>
          </cell>
          <cell r="CY29">
            <v>224</v>
          </cell>
          <cell r="CZ29">
            <v>460</v>
          </cell>
          <cell r="DA29">
            <v>0</v>
          </cell>
          <cell r="DB29">
            <v>162</v>
          </cell>
          <cell r="DC29">
            <v>205</v>
          </cell>
          <cell r="DD29">
            <v>391</v>
          </cell>
          <cell r="DE29">
            <v>488</v>
          </cell>
          <cell r="DF29">
            <v>206</v>
          </cell>
          <cell r="DG29">
            <v>282</v>
          </cell>
          <cell r="DH29">
            <v>478</v>
          </cell>
          <cell r="DI29">
            <v>385</v>
          </cell>
          <cell r="DJ29">
            <v>438</v>
          </cell>
          <cell r="DK29">
            <v>169</v>
          </cell>
          <cell r="DL29">
            <v>269</v>
          </cell>
        </row>
        <row r="30">
          <cell r="A30" t="str">
            <v>37219</v>
          </cell>
          <cell r="B30" t="str">
            <v>Saint-Genouph</v>
          </cell>
          <cell r="C30" t="str">
            <v>Tour(s)plus</v>
          </cell>
          <cell r="D30">
            <v>413</v>
          </cell>
          <cell r="E30">
            <v>381</v>
          </cell>
          <cell r="F30">
            <v>16</v>
          </cell>
          <cell r="G30">
            <v>16</v>
          </cell>
          <cell r="H30">
            <v>365</v>
          </cell>
          <cell r="I30">
            <v>339</v>
          </cell>
          <cell r="J30">
            <v>16</v>
          </cell>
          <cell r="K30">
            <v>10</v>
          </cell>
          <cell r="L30">
            <v>352</v>
          </cell>
          <cell r="M30">
            <v>306</v>
          </cell>
          <cell r="N30">
            <v>30</v>
          </cell>
          <cell r="O30">
            <v>16</v>
          </cell>
          <cell r="P30">
            <v>313</v>
          </cell>
          <cell r="Q30">
            <v>262</v>
          </cell>
          <cell r="R30">
            <v>26</v>
          </cell>
          <cell r="S30">
            <v>25</v>
          </cell>
          <cell r="T30">
            <v>273</v>
          </cell>
          <cell r="U30">
            <v>222</v>
          </cell>
          <cell r="V30">
            <v>39</v>
          </cell>
          <cell r="W30">
            <v>12</v>
          </cell>
          <cell r="X30">
            <v>257</v>
          </cell>
          <cell r="Y30">
            <v>200</v>
          </cell>
          <cell r="Z30">
            <v>40</v>
          </cell>
          <cell r="AA30">
            <v>17</v>
          </cell>
          <cell r="AB30">
            <v>398</v>
          </cell>
          <cell r="AC30">
            <v>8</v>
          </cell>
          <cell r="AD30">
            <v>358</v>
          </cell>
          <cell r="AE30">
            <v>2</v>
          </cell>
          <cell r="AF30">
            <v>0</v>
          </cell>
          <cell r="AG30">
            <v>31</v>
          </cell>
          <cell r="AH30">
            <v>53</v>
          </cell>
          <cell r="AI30">
            <v>98</v>
          </cell>
          <cell r="AJ30">
            <v>199</v>
          </cell>
          <cell r="AK30">
            <v>4</v>
          </cell>
          <cell r="AL30">
            <v>35</v>
          </cell>
          <cell r="AM30">
            <v>42</v>
          </cell>
          <cell r="AN30">
            <v>109</v>
          </cell>
          <cell r="AO30">
            <v>149</v>
          </cell>
          <cell r="AP30">
            <v>1772</v>
          </cell>
          <cell r="AQ30">
            <v>370</v>
          </cell>
          <cell r="AR30">
            <v>1744</v>
          </cell>
          <cell r="AS30">
            <v>7</v>
          </cell>
          <cell r="AT30">
            <v>18</v>
          </cell>
          <cell r="AU30">
            <v>1484</v>
          </cell>
          <cell r="AV30">
            <v>332</v>
          </cell>
          <cell r="AW30">
            <v>1464</v>
          </cell>
          <cell r="AX30">
            <v>2</v>
          </cell>
          <cell r="AY30">
            <v>6</v>
          </cell>
          <cell r="AZ30">
            <v>370</v>
          </cell>
          <cell r="BA30">
            <v>118</v>
          </cell>
          <cell r="BB30">
            <v>86</v>
          </cell>
          <cell r="BC30">
            <v>101</v>
          </cell>
          <cell r="BD30">
            <v>65</v>
          </cell>
          <cell r="BE30">
            <v>113</v>
          </cell>
          <cell r="BF30">
            <v>84</v>
          </cell>
          <cell r="BG30">
            <v>99</v>
          </cell>
          <cell r="BH30">
            <v>65</v>
          </cell>
          <cell r="BI30">
            <v>3</v>
          </cell>
          <cell r="BJ30">
            <v>1</v>
          </cell>
          <cell r="BK30">
            <v>1</v>
          </cell>
          <cell r="BL30">
            <v>0</v>
          </cell>
          <cell r="BM30">
            <v>381</v>
          </cell>
          <cell r="BN30">
            <v>33</v>
          </cell>
          <cell r="BO30">
            <v>48</v>
          </cell>
          <cell r="BP30">
            <v>64</v>
          </cell>
          <cell r="BQ30">
            <v>236</v>
          </cell>
          <cell r="BR30">
            <v>82</v>
          </cell>
          <cell r="BS30">
            <v>80</v>
          </cell>
          <cell r="BT30">
            <v>74</v>
          </cell>
          <cell r="BU30">
            <v>1005</v>
          </cell>
          <cell r="BV30">
            <v>82</v>
          </cell>
          <cell r="BW30">
            <v>145</v>
          </cell>
          <cell r="BX30">
            <v>194</v>
          </cell>
          <cell r="BY30">
            <v>584</v>
          </cell>
          <cell r="BZ30">
            <v>127</v>
          </cell>
          <cell r="CA30">
            <v>225</v>
          </cell>
          <cell r="CB30">
            <v>307</v>
          </cell>
          <cell r="CC30">
            <v>1113</v>
          </cell>
          <cell r="CD30">
            <v>326</v>
          </cell>
          <cell r="CE30">
            <v>45</v>
          </cell>
          <cell r="CF30">
            <v>0</v>
          </cell>
          <cell r="CG30">
            <v>10</v>
          </cell>
          <cell r="CH30">
            <v>287</v>
          </cell>
          <cell r="CI30">
            <v>42</v>
          </cell>
          <cell r="CJ30">
            <v>0</v>
          </cell>
          <cell r="CK30">
            <v>10</v>
          </cell>
          <cell r="CL30">
            <v>1005</v>
          </cell>
          <cell r="CM30">
            <v>878</v>
          </cell>
          <cell r="CN30">
            <v>113</v>
          </cell>
          <cell r="CO30">
            <v>0</v>
          </cell>
          <cell r="CP30">
            <v>14</v>
          </cell>
          <cell r="CQ30">
            <v>6772</v>
          </cell>
          <cell r="CR30">
            <v>6268</v>
          </cell>
          <cell r="CS30">
            <v>296</v>
          </cell>
          <cell r="CT30">
            <v>0</v>
          </cell>
          <cell r="CU30">
            <v>208</v>
          </cell>
          <cell r="CV30">
            <v>363</v>
          </cell>
          <cell r="CW30">
            <v>3</v>
          </cell>
          <cell r="CX30">
            <v>185</v>
          </cell>
          <cell r="CY30">
            <v>122</v>
          </cell>
          <cell r="CZ30">
            <v>318</v>
          </cell>
          <cell r="DA30">
            <v>0</v>
          </cell>
          <cell r="DB30">
            <v>146</v>
          </cell>
          <cell r="DC30">
            <v>76</v>
          </cell>
          <cell r="DD30">
            <v>323</v>
          </cell>
          <cell r="DE30">
            <v>358</v>
          </cell>
          <cell r="DF30">
            <v>150</v>
          </cell>
          <cell r="DG30">
            <v>208</v>
          </cell>
          <cell r="DH30">
            <v>339</v>
          </cell>
          <cell r="DI30">
            <v>260</v>
          </cell>
          <cell r="DJ30">
            <v>315</v>
          </cell>
          <cell r="DK30">
            <v>129</v>
          </cell>
          <cell r="DL30">
            <v>186</v>
          </cell>
        </row>
        <row r="31">
          <cell r="A31" t="str">
            <v>37233</v>
          </cell>
          <cell r="B31" t="str">
            <v>Saint-Pierre-des-Corps</v>
          </cell>
          <cell r="C31" t="str">
            <v>Tour(s)plus</v>
          </cell>
          <cell r="D31">
            <v>7384.5</v>
          </cell>
          <cell r="E31">
            <v>6888.2534809999997</v>
          </cell>
          <cell r="F31">
            <v>46.759925000000003</v>
          </cell>
          <cell r="G31">
            <v>449.48659500000002</v>
          </cell>
          <cell r="H31">
            <v>7113</v>
          </cell>
          <cell r="I31">
            <v>6541</v>
          </cell>
          <cell r="J31">
            <v>58</v>
          </cell>
          <cell r="K31">
            <v>514</v>
          </cell>
          <cell r="L31">
            <v>7026</v>
          </cell>
          <cell r="M31">
            <v>6674</v>
          </cell>
          <cell r="N31">
            <v>74</v>
          </cell>
          <cell r="O31">
            <v>278</v>
          </cell>
          <cell r="P31">
            <v>6818</v>
          </cell>
          <cell r="Q31">
            <v>6405</v>
          </cell>
          <cell r="R31">
            <v>31</v>
          </cell>
          <cell r="S31">
            <v>382</v>
          </cell>
          <cell r="T31">
            <v>6060</v>
          </cell>
          <cell r="U31">
            <v>5747</v>
          </cell>
          <cell r="V31">
            <v>39</v>
          </cell>
          <cell r="W31">
            <v>274</v>
          </cell>
          <cell r="X31">
            <v>4731</v>
          </cell>
          <cell r="Y31">
            <v>4506</v>
          </cell>
          <cell r="Z31">
            <v>32</v>
          </cell>
          <cell r="AA31">
            <v>193</v>
          </cell>
          <cell r="AB31">
            <v>3478.4549969999998</v>
          </cell>
          <cell r="AC31">
            <v>3896.7275800000002</v>
          </cell>
          <cell r="AD31">
            <v>3048</v>
          </cell>
          <cell r="AE31">
            <v>3879</v>
          </cell>
          <cell r="AF31">
            <v>181.00923</v>
          </cell>
          <cell r="AG31">
            <v>764.11222499999997</v>
          </cell>
          <cell r="AH31">
            <v>1710.702475</v>
          </cell>
          <cell r="AI31">
            <v>2534.0412569999999</v>
          </cell>
          <cell r="AJ31">
            <v>1698.3882940000001</v>
          </cell>
          <cell r="AK31">
            <v>238</v>
          </cell>
          <cell r="AL31">
            <v>866</v>
          </cell>
          <cell r="AM31">
            <v>1855</v>
          </cell>
          <cell r="AN31">
            <v>2216</v>
          </cell>
          <cell r="AO31">
            <v>1366</v>
          </cell>
          <cell r="AP31">
            <v>26276.712605000001</v>
          </cell>
          <cell r="AQ31">
            <v>3272.2081199999998</v>
          </cell>
          <cell r="AR31">
            <v>14147.665814</v>
          </cell>
          <cell r="AS31">
            <v>3606.727938</v>
          </cell>
          <cell r="AT31">
            <v>12103.879354000001</v>
          </cell>
          <cell r="AU31">
            <v>23694</v>
          </cell>
          <cell r="AV31">
            <v>2873</v>
          </cell>
          <cell r="AW31">
            <v>11868</v>
          </cell>
          <cell r="AX31">
            <v>3500</v>
          </cell>
          <cell r="AY31">
            <v>11446</v>
          </cell>
          <cell r="AZ31">
            <v>6704.1876069999998</v>
          </cell>
          <cell r="BA31">
            <v>1383.234727</v>
          </cell>
          <cell r="BB31">
            <v>3950.7420219999999</v>
          </cell>
          <cell r="BC31">
            <v>1092.732188</v>
          </cell>
          <cell r="BD31">
            <v>277.47867100000002</v>
          </cell>
          <cell r="BE31">
            <v>1169.693092</v>
          </cell>
          <cell r="BF31">
            <v>1339.301154</v>
          </cell>
          <cell r="BG31">
            <v>567.24108899999999</v>
          </cell>
          <cell r="BH31">
            <v>64.642010999999997</v>
          </cell>
          <cell r="BI31">
            <v>213.54163399999999</v>
          </cell>
          <cell r="BJ31">
            <v>2605.1511719999999</v>
          </cell>
          <cell r="BK31">
            <v>523.49109899999996</v>
          </cell>
          <cell r="BL31">
            <v>212.83665999999999</v>
          </cell>
          <cell r="BM31">
            <v>6888.2534809999997</v>
          </cell>
          <cell r="BN31">
            <v>768.43923700000005</v>
          </cell>
          <cell r="BO31">
            <v>1270.3863289999999</v>
          </cell>
          <cell r="BP31">
            <v>1078.6691619999999</v>
          </cell>
          <cell r="BQ31">
            <v>3770.7587530000001</v>
          </cell>
          <cell r="BR31">
            <v>1287.1785239999999</v>
          </cell>
          <cell r="BS31">
            <v>1087.9095950000001</v>
          </cell>
          <cell r="BT31">
            <v>1395.6706340000001</v>
          </cell>
          <cell r="BU31">
            <v>15359.062153999999</v>
          </cell>
          <cell r="BV31">
            <v>1649.7578679999999</v>
          </cell>
          <cell r="BW31">
            <v>3100.7043159999998</v>
          </cell>
          <cell r="BX31">
            <v>2937.1199969999998</v>
          </cell>
          <cell r="BY31">
            <v>7671.4799730000004</v>
          </cell>
          <cell r="BZ31">
            <v>2465.7690010000001</v>
          </cell>
          <cell r="CA31">
            <v>4472.9452879999999</v>
          </cell>
          <cell r="CB31">
            <v>4090.5323149999999</v>
          </cell>
          <cell r="CC31">
            <v>15247.466001000001</v>
          </cell>
          <cell r="CD31">
            <v>3456.3605630000002</v>
          </cell>
          <cell r="CE31">
            <v>3348.6886650000001</v>
          </cell>
          <cell r="CF31">
            <v>2437.8103729999998</v>
          </cell>
          <cell r="CG31">
            <v>83.204251999999997</v>
          </cell>
          <cell r="CH31">
            <v>2828</v>
          </cell>
          <cell r="CI31">
            <v>3582</v>
          </cell>
          <cell r="CJ31">
            <v>2622</v>
          </cell>
          <cell r="CK31">
            <v>131</v>
          </cell>
          <cell r="CL31">
            <v>15359.062153999999</v>
          </cell>
          <cell r="CM31">
            <v>7473.3146150000002</v>
          </cell>
          <cell r="CN31">
            <v>7703.0462969999999</v>
          </cell>
          <cell r="CO31">
            <v>5803.1806850000003</v>
          </cell>
          <cell r="CP31">
            <v>182.70124300000001</v>
          </cell>
          <cell r="CQ31">
            <v>111872.595913</v>
          </cell>
          <cell r="CR31">
            <v>74890.245750999995</v>
          </cell>
          <cell r="CS31">
            <v>36276.507762000001</v>
          </cell>
          <cell r="CT31">
            <v>30762.574602000001</v>
          </cell>
          <cell r="CU31">
            <v>705.8424</v>
          </cell>
          <cell r="CV31">
            <v>6676.4270429999997</v>
          </cell>
          <cell r="CW31">
            <v>2809.9400989999999</v>
          </cell>
          <cell r="CX31">
            <v>3289.751299</v>
          </cell>
          <cell r="CY31">
            <v>669.40006300000005</v>
          </cell>
          <cell r="CZ31">
            <v>6340</v>
          </cell>
          <cell r="DA31">
            <v>2878</v>
          </cell>
          <cell r="DB31">
            <v>2890</v>
          </cell>
          <cell r="DC31">
            <v>509</v>
          </cell>
          <cell r="DD31">
            <v>4375.7078199999996</v>
          </cell>
          <cell r="DE31">
            <v>5310.3226279999999</v>
          </cell>
          <cell r="DF31">
            <v>3719.386602</v>
          </cell>
          <cell r="DG31">
            <v>1590.9360260000001</v>
          </cell>
          <cell r="DH31">
            <v>6541</v>
          </cell>
          <cell r="DI31">
            <v>3315</v>
          </cell>
          <cell r="DJ31">
            <v>4926</v>
          </cell>
          <cell r="DK31">
            <v>3571</v>
          </cell>
          <cell r="DL31">
            <v>1355</v>
          </cell>
        </row>
        <row r="32">
          <cell r="A32" t="str">
            <v>37243</v>
          </cell>
          <cell r="B32" t="str">
            <v>Savonnières</v>
          </cell>
          <cell r="C32" t="str">
            <v>Tour(s)plus</v>
          </cell>
          <cell r="D32">
            <v>1169.3374209999999</v>
          </cell>
          <cell r="E32">
            <v>1079.3374209999999</v>
          </cell>
          <cell r="F32">
            <v>35.783132999999999</v>
          </cell>
          <cell r="G32">
            <v>54.216867000000001</v>
          </cell>
          <cell r="H32">
            <v>1047</v>
          </cell>
          <cell r="I32">
            <v>933</v>
          </cell>
          <cell r="J32">
            <v>68</v>
          </cell>
          <cell r="K32">
            <v>46</v>
          </cell>
          <cell r="L32">
            <v>828</v>
          </cell>
          <cell r="M32">
            <v>712</v>
          </cell>
          <cell r="N32">
            <v>82</v>
          </cell>
          <cell r="O32">
            <v>34</v>
          </cell>
          <cell r="P32">
            <v>753</v>
          </cell>
          <cell r="Q32">
            <v>618</v>
          </cell>
          <cell r="R32">
            <v>102</v>
          </cell>
          <cell r="S32">
            <v>33</v>
          </cell>
          <cell r="T32">
            <v>597</v>
          </cell>
          <cell r="U32">
            <v>483</v>
          </cell>
          <cell r="V32">
            <v>100</v>
          </cell>
          <cell r="W32">
            <v>14</v>
          </cell>
          <cell r="X32">
            <v>540</v>
          </cell>
          <cell r="Y32">
            <v>405</v>
          </cell>
          <cell r="Z32">
            <v>103</v>
          </cell>
          <cell r="AA32">
            <v>32</v>
          </cell>
          <cell r="AB32">
            <v>1119.9812509999999</v>
          </cell>
          <cell r="AC32">
            <v>44.305641999999999</v>
          </cell>
          <cell r="AD32">
            <v>1012</v>
          </cell>
          <cell r="AE32">
            <v>16</v>
          </cell>
          <cell r="AF32">
            <v>7.8309579999999999</v>
          </cell>
          <cell r="AG32">
            <v>41.546238000000002</v>
          </cell>
          <cell r="AH32">
            <v>130.43586300000001</v>
          </cell>
          <cell r="AI32">
            <v>228.987405</v>
          </cell>
          <cell r="AJ32">
            <v>670.53695700000003</v>
          </cell>
          <cell r="AK32">
            <v>5</v>
          </cell>
          <cell r="AL32">
            <v>58</v>
          </cell>
          <cell r="AM32">
            <v>172</v>
          </cell>
          <cell r="AN32">
            <v>232</v>
          </cell>
          <cell r="AO32">
            <v>466</v>
          </cell>
          <cell r="AP32">
            <v>5452.3205170000001</v>
          </cell>
          <cell r="AQ32">
            <v>1038.6559500000001</v>
          </cell>
          <cell r="AR32">
            <v>5335.3099110000003</v>
          </cell>
          <cell r="AS32">
            <v>36.71528</v>
          </cell>
          <cell r="AT32">
            <v>113.044415</v>
          </cell>
          <cell r="AU32">
            <v>4297</v>
          </cell>
          <cell r="AV32">
            <v>906</v>
          </cell>
          <cell r="AW32">
            <v>4218</v>
          </cell>
          <cell r="AX32">
            <v>10</v>
          </cell>
          <cell r="AY32">
            <v>27</v>
          </cell>
          <cell r="AZ32">
            <v>994.31256199999996</v>
          </cell>
          <cell r="BA32">
            <v>260.87172700000002</v>
          </cell>
          <cell r="BB32">
            <v>188.40735799999999</v>
          </cell>
          <cell r="BC32">
            <v>248.41266200000001</v>
          </cell>
          <cell r="BD32">
            <v>296.62081499999999</v>
          </cell>
          <cell r="BE32">
            <v>245.41266200000001</v>
          </cell>
          <cell r="BF32">
            <v>179.711634</v>
          </cell>
          <cell r="BG32">
            <v>241.54789500000001</v>
          </cell>
          <cell r="BH32">
            <v>286.95890000000003</v>
          </cell>
          <cell r="BI32">
            <v>14.492874</v>
          </cell>
          <cell r="BJ32">
            <v>8.6957240000000002</v>
          </cell>
          <cell r="BK32">
            <v>3.8647659999999999</v>
          </cell>
          <cell r="BL32">
            <v>9.6619159999999997</v>
          </cell>
          <cell r="BM32">
            <v>1079.3374209999999</v>
          </cell>
          <cell r="BN32">
            <v>112.07822299999999</v>
          </cell>
          <cell r="BO32">
            <v>163.353994</v>
          </cell>
          <cell r="BP32">
            <v>191.339741</v>
          </cell>
          <cell r="BQ32">
            <v>612.56546200000003</v>
          </cell>
          <cell r="BR32">
            <v>266.66887600000001</v>
          </cell>
          <cell r="BS32">
            <v>172.94829300000001</v>
          </cell>
          <cell r="BT32">
            <v>172.94829300000001</v>
          </cell>
          <cell r="BU32">
            <v>2919</v>
          </cell>
          <cell r="BV32">
            <v>291.78985699999998</v>
          </cell>
          <cell r="BW32">
            <v>481.23102399999999</v>
          </cell>
          <cell r="BX32">
            <v>589.444481</v>
          </cell>
          <cell r="BY32">
            <v>1556.534637</v>
          </cell>
          <cell r="BZ32">
            <v>500.48723899999999</v>
          </cell>
          <cell r="CA32">
            <v>796.20947999999999</v>
          </cell>
          <cell r="CB32">
            <v>975.88730499999997</v>
          </cell>
          <cell r="CC32">
            <v>3179.7364929999999</v>
          </cell>
          <cell r="CD32">
            <v>913.05104400000005</v>
          </cell>
          <cell r="CE32">
            <v>154.69207800000001</v>
          </cell>
          <cell r="CF32">
            <v>21.256215000000001</v>
          </cell>
          <cell r="CG32">
            <v>11.594298999999999</v>
          </cell>
          <cell r="CH32">
            <v>795</v>
          </cell>
          <cell r="CI32">
            <v>122</v>
          </cell>
          <cell r="CJ32">
            <v>10</v>
          </cell>
          <cell r="CK32">
            <v>16</v>
          </cell>
          <cell r="CL32">
            <v>2919</v>
          </cell>
          <cell r="CM32">
            <v>2517.8952599999998</v>
          </cell>
          <cell r="CN32">
            <v>375.98375900000002</v>
          </cell>
          <cell r="CO32">
            <v>66.667219000000003</v>
          </cell>
          <cell r="CP32">
            <v>25.120981</v>
          </cell>
          <cell r="CQ32">
            <v>16764.728207</v>
          </cell>
          <cell r="CR32">
            <v>15672.593636</v>
          </cell>
          <cell r="CS32">
            <v>948.17202499999996</v>
          </cell>
          <cell r="CT32">
            <v>91.788200000000003</v>
          </cell>
          <cell r="CU32">
            <v>143.962546</v>
          </cell>
          <cell r="CV32">
            <v>1060.979781</v>
          </cell>
          <cell r="CW32">
            <v>15.560491000000001</v>
          </cell>
          <cell r="CX32">
            <v>548.79681800000003</v>
          </cell>
          <cell r="CY32">
            <v>327.53894600000001</v>
          </cell>
          <cell r="CZ32">
            <v>909</v>
          </cell>
          <cell r="DA32">
            <v>11</v>
          </cell>
          <cell r="DB32">
            <v>452</v>
          </cell>
          <cell r="DC32">
            <v>248</v>
          </cell>
          <cell r="DD32">
            <v>858.97812399999998</v>
          </cell>
          <cell r="DE32">
            <v>1038.7573749999999</v>
          </cell>
          <cell r="DF32">
            <v>336.30228699999998</v>
          </cell>
          <cell r="DG32">
            <v>702.45508800000005</v>
          </cell>
          <cell r="DH32">
            <v>933</v>
          </cell>
          <cell r="DI32">
            <v>772</v>
          </cell>
          <cell r="DJ32">
            <v>878</v>
          </cell>
          <cell r="DK32">
            <v>335</v>
          </cell>
          <cell r="DL32">
            <v>543</v>
          </cell>
        </row>
        <row r="33">
          <cell r="A33" t="str">
            <v>37250</v>
          </cell>
          <cell r="B33" t="str">
            <v>Sorigny</v>
          </cell>
          <cell r="C33" t="str">
            <v>CC du Val de l'Indre</v>
          </cell>
          <cell r="D33">
            <v>825.56986600000005</v>
          </cell>
          <cell r="E33">
            <v>774.56986600000005</v>
          </cell>
          <cell r="F33">
            <v>13.471698</v>
          </cell>
          <cell r="G33">
            <v>37.528301999999996</v>
          </cell>
          <cell r="H33">
            <v>721</v>
          </cell>
          <cell r="I33">
            <v>678</v>
          </cell>
          <cell r="J33">
            <v>17</v>
          </cell>
          <cell r="K33">
            <v>26</v>
          </cell>
          <cell r="L33">
            <v>608</v>
          </cell>
          <cell r="M33">
            <v>560</v>
          </cell>
          <cell r="N33">
            <v>17</v>
          </cell>
          <cell r="O33">
            <v>31</v>
          </cell>
          <cell r="P33">
            <v>536</v>
          </cell>
          <cell r="Q33">
            <v>479</v>
          </cell>
          <cell r="R33">
            <v>24</v>
          </cell>
          <cell r="S33">
            <v>33</v>
          </cell>
          <cell r="T33">
            <v>449</v>
          </cell>
          <cell r="U33">
            <v>390</v>
          </cell>
          <cell r="V33">
            <v>15</v>
          </cell>
          <cell r="W33">
            <v>44</v>
          </cell>
          <cell r="X33">
            <v>402</v>
          </cell>
          <cell r="Y33">
            <v>362</v>
          </cell>
          <cell r="Z33">
            <v>13</v>
          </cell>
          <cell r="AA33">
            <v>27</v>
          </cell>
          <cell r="AB33">
            <v>773.06193299999995</v>
          </cell>
          <cell r="AC33">
            <v>46.611251000000003</v>
          </cell>
          <cell r="AD33">
            <v>688</v>
          </cell>
          <cell r="AE33">
            <v>22</v>
          </cell>
          <cell r="AF33">
            <v>9.9303830000000008</v>
          </cell>
          <cell r="AG33">
            <v>31.777225000000001</v>
          </cell>
          <cell r="AH33">
            <v>117.178518</v>
          </cell>
          <cell r="AI33">
            <v>197.61462</v>
          </cell>
          <cell r="AJ33">
            <v>418.06912</v>
          </cell>
          <cell r="AK33">
            <v>9</v>
          </cell>
          <cell r="AL33">
            <v>49</v>
          </cell>
          <cell r="AM33">
            <v>134</v>
          </cell>
          <cell r="AN33">
            <v>194</v>
          </cell>
          <cell r="AO33">
            <v>292</v>
          </cell>
          <cell r="AP33">
            <v>3610.6872199999998</v>
          </cell>
          <cell r="AQ33">
            <v>725.91098999999997</v>
          </cell>
          <cell r="AR33">
            <v>3476.6270509999999</v>
          </cell>
          <cell r="AS33">
            <v>44.686723000000001</v>
          </cell>
          <cell r="AT33">
            <v>125.12282399999999</v>
          </cell>
          <cell r="AU33">
            <v>2920</v>
          </cell>
          <cell r="AV33">
            <v>652</v>
          </cell>
          <cell r="AW33">
            <v>2849</v>
          </cell>
          <cell r="AX33">
            <v>16</v>
          </cell>
          <cell r="AY33">
            <v>41</v>
          </cell>
          <cell r="AZ33">
            <v>727.897066</v>
          </cell>
          <cell r="BA33">
            <v>259.18299400000001</v>
          </cell>
          <cell r="BB33">
            <v>77.456986999999998</v>
          </cell>
          <cell r="BC33">
            <v>203.57284899999999</v>
          </cell>
          <cell r="BD33">
            <v>187.684237</v>
          </cell>
          <cell r="BE33">
            <v>243.29438099999999</v>
          </cell>
          <cell r="BF33">
            <v>76.463948000000002</v>
          </cell>
          <cell r="BG33">
            <v>188.67727500000001</v>
          </cell>
          <cell r="BH33">
            <v>178.746892</v>
          </cell>
          <cell r="BI33">
            <v>13.902536</v>
          </cell>
          <cell r="BJ33">
            <v>0.99303799999999998</v>
          </cell>
          <cell r="BK33">
            <v>13.902536</v>
          </cell>
          <cell r="BL33">
            <v>7.9443060000000001</v>
          </cell>
          <cell r="BM33">
            <v>774.56986600000005</v>
          </cell>
          <cell r="BN33">
            <v>88.380408000000003</v>
          </cell>
          <cell r="BO33">
            <v>107.248135</v>
          </cell>
          <cell r="BP33">
            <v>142.997514</v>
          </cell>
          <cell r="BQ33">
            <v>435.94380899999999</v>
          </cell>
          <cell r="BR33">
            <v>162.85827900000001</v>
          </cell>
          <cell r="BS33">
            <v>129.094978</v>
          </cell>
          <cell r="BT33">
            <v>143.99055200000001</v>
          </cell>
          <cell r="BU33">
            <v>1997</v>
          </cell>
          <cell r="BV33">
            <v>202.57981100000001</v>
          </cell>
          <cell r="BW33">
            <v>272.092491</v>
          </cell>
          <cell r="BX33">
            <v>452.82546000000002</v>
          </cell>
          <cell r="BY33">
            <v>1069.502238</v>
          </cell>
          <cell r="BZ33">
            <v>361.465937</v>
          </cell>
          <cell r="CA33">
            <v>481.62356999999997</v>
          </cell>
          <cell r="CB33">
            <v>692.14768800000002</v>
          </cell>
          <cell r="CC33">
            <v>2075.4500250000001</v>
          </cell>
          <cell r="CD33">
            <v>599.79512699999998</v>
          </cell>
          <cell r="CE33">
            <v>161.865241</v>
          </cell>
          <cell r="CF33">
            <v>36.742417000000003</v>
          </cell>
          <cell r="CG33">
            <v>12.909497999999999</v>
          </cell>
          <cell r="CH33">
            <v>530</v>
          </cell>
          <cell r="CI33">
            <v>125</v>
          </cell>
          <cell r="CJ33">
            <v>22</v>
          </cell>
          <cell r="CK33">
            <v>23</v>
          </cell>
          <cell r="CL33">
            <v>1997</v>
          </cell>
          <cell r="CM33">
            <v>1598.7916459999999</v>
          </cell>
          <cell r="CN33">
            <v>378.34758799999997</v>
          </cell>
          <cell r="CO33">
            <v>102.282944</v>
          </cell>
          <cell r="CP33">
            <v>19.860766000000002</v>
          </cell>
          <cell r="CQ33">
            <v>12926.379413000001</v>
          </cell>
          <cell r="CR33">
            <v>11338.511188</v>
          </cell>
          <cell r="CS33">
            <v>1136.035803</v>
          </cell>
          <cell r="CT33">
            <v>234.35703599999999</v>
          </cell>
          <cell r="CU33">
            <v>451.83242200000001</v>
          </cell>
          <cell r="CV33">
            <v>758.68125299999997</v>
          </cell>
          <cell r="CW33">
            <v>2.9791150000000002</v>
          </cell>
          <cell r="CX33">
            <v>342.59820999999999</v>
          </cell>
          <cell r="CY33">
            <v>280.03679799999998</v>
          </cell>
          <cell r="CZ33">
            <v>650</v>
          </cell>
          <cell r="DA33">
            <v>6</v>
          </cell>
          <cell r="DB33">
            <v>256</v>
          </cell>
          <cell r="DC33">
            <v>209</v>
          </cell>
          <cell r="DD33">
            <v>608.73247100000003</v>
          </cell>
          <cell r="DE33">
            <v>722.93187499999999</v>
          </cell>
          <cell r="DF33">
            <v>310.82098500000001</v>
          </cell>
          <cell r="DG33">
            <v>412.11088999999998</v>
          </cell>
          <cell r="DH33">
            <v>678</v>
          </cell>
          <cell r="DI33">
            <v>517</v>
          </cell>
          <cell r="DJ33">
            <v>623</v>
          </cell>
          <cell r="DK33">
            <v>279</v>
          </cell>
          <cell r="DL33">
            <v>344</v>
          </cell>
        </row>
        <row r="34">
          <cell r="A34" t="str">
            <v>37261</v>
          </cell>
          <cell r="B34" t="str">
            <v>Tours</v>
          </cell>
          <cell r="C34" t="str">
            <v>Tour(s)plus</v>
          </cell>
          <cell r="D34">
            <v>78466</v>
          </cell>
          <cell r="E34">
            <v>72386.297416999994</v>
          </cell>
          <cell r="F34">
            <v>1113.6916779999999</v>
          </cell>
          <cell r="G34">
            <v>4966.0109050000001</v>
          </cell>
          <cell r="H34">
            <v>74395</v>
          </cell>
          <cell r="I34">
            <v>66627</v>
          </cell>
          <cell r="J34">
            <v>1566</v>
          </cell>
          <cell r="K34">
            <v>6202</v>
          </cell>
          <cell r="L34">
            <v>64740</v>
          </cell>
          <cell r="M34">
            <v>58147</v>
          </cell>
          <cell r="N34">
            <v>3124</v>
          </cell>
          <cell r="O34">
            <v>3469</v>
          </cell>
          <cell r="P34">
            <v>60869</v>
          </cell>
          <cell r="Q34">
            <v>55124</v>
          </cell>
          <cell r="R34">
            <v>1477</v>
          </cell>
          <cell r="S34">
            <v>4268</v>
          </cell>
          <cell r="T34">
            <v>57211</v>
          </cell>
          <cell r="U34">
            <v>52020</v>
          </cell>
          <cell r="V34">
            <v>1265</v>
          </cell>
          <cell r="W34">
            <v>3926</v>
          </cell>
          <cell r="X34">
            <v>46786</v>
          </cell>
          <cell r="Y34">
            <v>43073</v>
          </cell>
          <cell r="Z34">
            <v>605</v>
          </cell>
          <cell r="AA34">
            <v>3108</v>
          </cell>
          <cell r="AB34">
            <v>17012.281663999998</v>
          </cell>
          <cell r="AC34">
            <v>60554.070138000003</v>
          </cell>
          <cell r="AD34">
            <v>16138</v>
          </cell>
          <cell r="AE34">
            <v>56268</v>
          </cell>
          <cell r="AF34">
            <v>12150.789305</v>
          </cell>
          <cell r="AG34">
            <v>14685.373853999999</v>
          </cell>
          <cell r="AH34">
            <v>17193.567479000001</v>
          </cell>
          <cell r="AI34">
            <v>15303.220262000001</v>
          </cell>
          <cell r="AJ34">
            <v>13053.346517</v>
          </cell>
          <cell r="AK34">
            <v>11991</v>
          </cell>
          <cell r="AL34">
            <v>13620</v>
          </cell>
          <cell r="AM34">
            <v>15886</v>
          </cell>
          <cell r="AN34">
            <v>14282</v>
          </cell>
          <cell r="AO34">
            <v>10848</v>
          </cell>
          <cell r="AP34">
            <v>229498.171539</v>
          </cell>
          <cell r="AQ34">
            <v>16118.957946</v>
          </cell>
          <cell r="AR34">
            <v>76873.16403</v>
          </cell>
          <cell r="AS34">
            <v>55518.674932000002</v>
          </cell>
          <cell r="AT34">
            <v>151346.65422900001</v>
          </cell>
          <cell r="AU34">
            <v>205221</v>
          </cell>
          <cell r="AV34">
            <v>15022</v>
          </cell>
          <cell r="AW34">
            <v>67878</v>
          </cell>
          <cell r="AX34">
            <v>49781</v>
          </cell>
          <cell r="AY34">
            <v>133433</v>
          </cell>
          <cell r="AZ34">
            <v>71507.715100999994</v>
          </cell>
          <cell r="BA34">
            <v>17615.611585999999</v>
          </cell>
          <cell r="BB34">
            <v>32765.860473000001</v>
          </cell>
          <cell r="BC34">
            <v>11605.106102</v>
          </cell>
          <cell r="BD34">
            <v>9521.1369410000007</v>
          </cell>
          <cell r="BE34">
            <v>8274.8094110000002</v>
          </cell>
          <cell r="BF34">
            <v>4721.0755390000004</v>
          </cell>
          <cell r="BG34">
            <v>2056.4195089999998</v>
          </cell>
          <cell r="BH34">
            <v>959.99740099999997</v>
          </cell>
          <cell r="BI34">
            <v>9132.5171840000003</v>
          </cell>
          <cell r="BJ34">
            <v>27803.497423000001</v>
          </cell>
          <cell r="BK34">
            <v>9443.2895599999993</v>
          </cell>
          <cell r="BL34">
            <v>8398.9091040000003</v>
          </cell>
          <cell r="BM34">
            <v>72386.297416999994</v>
          </cell>
          <cell r="BN34">
            <v>16070.335229</v>
          </cell>
          <cell r="BO34">
            <v>18734.617125000001</v>
          </cell>
          <cell r="BP34">
            <v>12361.507512</v>
          </cell>
          <cell r="BQ34">
            <v>25219.837551000001</v>
          </cell>
          <cell r="BR34">
            <v>9945.464242</v>
          </cell>
          <cell r="BS34">
            <v>6949.5837190000002</v>
          </cell>
          <cell r="BT34">
            <v>8324.789589</v>
          </cell>
          <cell r="BU34">
            <v>131545.29257300001</v>
          </cell>
          <cell r="BV34">
            <v>25556.105422000001</v>
          </cell>
          <cell r="BW34">
            <v>34461.370704000001</v>
          </cell>
          <cell r="BX34">
            <v>25769.070691000001</v>
          </cell>
          <cell r="BY34">
            <v>45758.745755000004</v>
          </cell>
          <cell r="BZ34">
            <v>37517.134652000001</v>
          </cell>
          <cell r="CA34">
            <v>51762.202226000001</v>
          </cell>
          <cell r="CB34">
            <v>41708.781863999997</v>
          </cell>
          <cell r="CC34">
            <v>98510.052796999997</v>
          </cell>
          <cell r="CD34">
            <v>24227.028654999998</v>
          </cell>
          <cell r="CE34">
            <v>46707.098210999997</v>
          </cell>
          <cell r="CF34">
            <v>19399.531426000001</v>
          </cell>
          <cell r="CG34">
            <v>1452.170552</v>
          </cell>
          <cell r="CH34">
            <v>20913</v>
          </cell>
          <cell r="CI34">
            <v>43895</v>
          </cell>
          <cell r="CJ34">
            <v>20568</v>
          </cell>
          <cell r="CK34">
            <v>1819</v>
          </cell>
          <cell r="CL34">
            <v>131545.29257300001</v>
          </cell>
          <cell r="CM34">
            <v>48820.289246</v>
          </cell>
          <cell r="CN34">
            <v>80113.821876999995</v>
          </cell>
          <cell r="CO34">
            <v>38904.929606999998</v>
          </cell>
          <cell r="CP34">
            <v>2611.18145</v>
          </cell>
          <cell r="CQ34">
            <v>786825.60149100004</v>
          </cell>
          <cell r="CR34">
            <v>443101.41306200001</v>
          </cell>
          <cell r="CS34">
            <v>332432.254633</v>
          </cell>
          <cell r="CT34">
            <v>211227.49073600001</v>
          </cell>
          <cell r="CU34">
            <v>11291.933797</v>
          </cell>
          <cell r="CV34">
            <v>70162.718987</v>
          </cell>
          <cell r="CW34">
            <v>29490.597634000002</v>
          </cell>
          <cell r="CX34">
            <v>26425.590291</v>
          </cell>
          <cell r="CY34">
            <v>15792.027564</v>
          </cell>
          <cell r="CZ34">
            <v>64795</v>
          </cell>
          <cell r="DA34">
            <v>28791</v>
          </cell>
          <cell r="DB34">
            <v>24191</v>
          </cell>
          <cell r="DC34">
            <v>12376</v>
          </cell>
          <cell r="DD34">
            <v>29454.700193000001</v>
          </cell>
          <cell r="DE34">
            <v>50661.073882999997</v>
          </cell>
          <cell r="DF34">
            <v>38530.045260999999</v>
          </cell>
          <cell r="DG34">
            <v>12131.028622</v>
          </cell>
          <cell r="DH34">
            <v>66627</v>
          </cell>
          <cell r="DI34">
            <v>24154</v>
          </cell>
          <cell r="DJ34">
            <v>45559</v>
          </cell>
          <cell r="DK34">
            <v>35110</v>
          </cell>
          <cell r="DL34">
            <v>10449</v>
          </cell>
        </row>
        <row r="35">
          <cell r="A35" t="str">
            <v>37263</v>
          </cell>
          <cell r="B35" t="str">
            <v>Truyes</v>
          </cell>
          <cell r="C35" t="str">
            <v>CC du Val de l'Indre</v>
          </cell>
          <cell r="D35">
            <v>822</v>
          </cell>
          <cell r="E35">
            <v>763</v>
          </cell>
          <cell r="F35">
            <v>48</v>
          </cell>
          <cell r="G35">
            <v>11</v>
          </cell>
          <cell r="H35">
            <v>709</v>
          </cell>
          <cell r="I35">
            <v>640</v>
          </cell>
          <cell r="J35">
            <v>54</v>
          </cell>
          <cell r="K35">
            <v>15</v>
          </cell>
          <cell r="L35">
            <v>620</v>
          </cell>
          <cell r="M35">
            <v>545</v>
          </cell>
          <cell r="N35">
            <v>45</v>
          </cell>
          <cell r="O35">
            <v>30</v>
          </cell>
          <cell r="P35">
            <v>505</v>
          </cell>
          <cell r="Q35">
            <v>422</v>
          </cell>
          <cell r="R35">
            <v>50</v>
          </cell>
          <cell r="S35">
            <v>33</v>
          </cell>
          <cell r="T35">
            <v>418</v>
          </cell>
          <cell r="U35">
            <v>329</v>
          </cell>
          <cell r="V35">
            <v>50</v>
          </cell>
          <cell r="W35">
            <v>39</v>
          </cell>
          <cell r="X35">
            <v>319</v>
          </cell>
          <cell r="Y35">
            <v>251</v>
          </cell>
          <cell r="Z35">
            <v>46</v>
          </cell>
          <cell r="AA35">
            <v>22</v>
          </cell>
          <cell r="AB35">
            <v>787</v>
          </cell>
          <cell r="AC35">
            <v>12</v>
          </cell>
          <cell r="AD35">
            <v>674</v>
          </cell>
          <cell r="AE35">
            <v>4</v>
          </cell>
          <cell r="AF35">
            <v>28</v>
          </cell>
          <cell r="AG35">
            <v>23</v>
          </cell>
          <cell r="AH35">
            <v>113</v>
          </cell>
          <cell r="AI35">
            <v>223</v>
          </cell>
          <cell r="AJ35">
            <v>376</v>
          </cell>
          <cell r="AK35">
            <v>22</v>
          </cell>
          <cell r="AL35">
            <v>42</v>
          </cell>
          <cell r="AM35">
            <v>119</v>
          </cell>
          <cell r="AN35">
            <v>191</v>
          </cell>
          <cell r="AO35">
            <v>266</v>
          </cell>
          <cell r="AP35">
            <v>3472</v>
          </cell>
          <cell r="AQ35">
            <v>732</v>
          </cell>
          <cell r="AR35">
            <v>3420</v>
          </cell>
          <cell r="AS35">
            <v>10</v>
          </cell>
          <cell r="AT35">
            <v>30</v>
          </cell>
          <cell r="AU35">
            <v>2724</v>
          </cell>
          <cell r="AV35">
            <v>608</v>
          </cell>
          <cell r="AW35">
            <v>2672</v>
          </cell>
          <cell r="AX35">
            <v>3</v>
          </cell>
          <cell r="AY35">
            <v>10</v>
          </cell>
          <cell r="AZ35">
            <v>723</v>
          </cell>
          <cell r="BA35">
            <v>173</v>
          </cell>
          <cell r="BB35">
            <v>152</v>
          </cell>
          <cell r="BC35">
            <v>230</v>
          </cell>
          <cell r="BD35">
            <v>168</v>
          </cell>
          <cell r="BE35">
            <v>168</v>
          </cell>
          <cell r="BF35">
            <v>151</v>
          </cell>
          <cell r="BG35">
            <v>229</v>
          </cell>
          <cell r="BH35">
            <v>144</v>
          </cell>
          <cell r="BI35">
            <v>5</v>
          </cell>
          <cell r="BJ35">
            <v>1</v>
          </cell>
          <cell r="BK35">
            <v>0</v>
          </cell>
          <cell r="BL35">
            <v>4</v>
          </cell>
          <cell r="BM35">
            <v>763</v>
          </cell>
          <cell r="BN35">
            <v>87</v>
          </cell>
          <cell r="BO35">
            <v>106</v>
          </cell>
          <cell r="BP35">
            <v>178</v>
          </cell>
          <cell r="BQ35">
            <v>392</v>
          </cell>
          <cell r="BR35">
            <v>121</v>
          </cell>
          <cell r="BS35">
            <v>138</v>
          </cell>
          <cell r="BT35">
            <v>133</v>
          </cell>
          <cell r="BU35">
            <v>1978</v>
          </cell>
          <cell r="BV35">
            <v>243</v>
          </cell>
          <cell r="BW35">
            <v>267</v>
          </cell>
          <cell r="BX35">
            <v>555</v>
          </cell>
          <cell r="BY35">
            <v>913</v>
          </cell>
          <cell r="BZ35">
            <v>392</v>
          </cell>
          <cell r="CA35">
            <v>432</v>
          </cell>
          <cell r="CB35">
            <v>819</v>
          </cell>
          <cell r="CC35">
            <v>1829</v>
          </cell>
          <cell r="CD35">
            <v>590</v>
          </cell>
          <cell r="CE35">
            <v>163</v>
          </cell>
          <cell r="CF35">
            <v>52</v>
          </cell>
          <cell r="CG35">
            <v>10</v>
          </cell>
          <cell r="CH35">
            <v>462</v>
          </cell>
          <cell r="CI35">
            <v>146</v>
          </cell>
          <cell r="CJ35">
            <v>70</v>
          </cell>
          <cell r="CK35">
            <v>32</v>
          </cell>
          <cell r="CL35">
            <v>1978</v>
          </cell>
          <cell r="CM35">
            <v>1611</v>
          </cell>
          <cell r="CN35">
            <v>351</v>
          </cell>
          <cell r="CO35">
            <v>137</v>
          </cell>
          <cell r="CP35">
            <v>16</v>
          </cell>
          <cell r="CQ35">
            <v>11834</v>
          </cell>
          <cell r="CR35">
            <v>10126</v>
          </cell>
          <cell r="CS35">
            <v>1596</v>
          </cell>
          <cell r="CT35">
            <v>639</v>
          </cell>
          <cell r="CU35">
            <v>112</v>
          </cell>
          <cell r="CV35">
            <v>706</v>
          </cell>
          <cell r="CW35">
            <v>22</v>
          </cell>
          <cell r="CX35">
            <v>384</v>
          </cell>
          <cell r="CY35">
            <v>236</v>
          </cell>
          <cell r="CZ35">
            <v>622</v>
          </cell>
          <cell r="DA35">
            <v>21</v>
          </cell>
          <cell r="DB35">
            <v>297</v>
          </cell>
          <cell r="DC35">
            <v>161</v>
          </cell>
          <cell r="DD35">
            <v>616</v>
          </cell>
          <cell r="DE35">
            <v>690</v>
          </cell>
          <cell r="DF35">
            <v>270</v>
          </cell>
          <cell r="DG35">
            <v>420</v>
          </cell>
          <cell r="DH35">
            <v>640</v>
          </cell>
          <cell r="DI35">
            <v>498</v>
          </cell>
          <cell r="DJ35">
            <v>577</v>
          </cell>
          <cell r="DK35">
            <v>246</v>
          </cell>
          <cell r="DL35">
            <v>331</v>
          </cell>
        </row>
        <row r="36">
          <cell r="A36" t="str">
            <v>37266</v>
          </cell>
          <cell r="B36" t="str">
            <v>Veigné</v>
          </cell>
          <cell r="C36" t="str">
            <v>CC du Val de l'Indre</v>
          </cell>
          <cell r="D36">
            <v>2333.8807630000001</v>
          </cell>
          <cell r="E36">
            <v>2177.8807630000001</v>
          </cell>
          <cell r="F36">
            <v>55.851852000000001</v>
          </cell>
          <cell r="G36">
            <v>100.14814800000001</v>
          </cell>
          <cell r="H36">
            <v>2103</v>
          </cell>
          <cell r="I36">
            <v>1972</v>
          </cell>
          <cell r="J36">
            <v>65</v>
          </cell>
          <cell r="K36">
            <v>66</v>
          </cell>
          <cell r="L36">
            <v>1722</v>
          </cell>
          <cell r="M36">
            <v>1555</v>
          </cell>
          <cell r="N36">
            <v>98</v>
          </cell>
          <cell r="O36">
            <v>69</v>
          </cell>
          <cell r="P36">
            <v>1524</v>
          </cell>
          <cell r="Q36">
            <v>1346</v>
          </cell>
          <cell r="R36">
            <v>104</v>
          </cell>
          <cell r="S36">
            <v>74</v>
          </cell>
          <cell r="T36">
            <v>1262</v>
          </cell>
          <cell r="U36">
            <v>1111</v>
          </cell>
          <cell r="V36">
            <v>80</v>
          </cell>
          <cell r="W36">
            <v>71</v>
          </cell>
          <cell r="X36">
            <v>863</v>
          </cell>
          <cell r="Y36">
            <v>745</v>
          </cell>
          <cell r="Z36">
            <v>72</v>
          </cell>
          <cell r="AA36">
            <v>46</v>
          </cell>
          <cell r="AB36">
            <v>2203.2780349999998</v>
          </cell>
          <cell r="AC36">
            <v>120.821811</v>
          </cell>
          <cell r="AD36">
            <v>2029</v>
          </cell>
          <cell r="AE36">
            <v>46</v>
          </cell>
          <cell r="AF36">
            <v>22.645233999999999</v>
          </cell>
          <cell r="AG36">
            <v>80.735181999999995</v>
          </cell>
          <cell r="AH36">
            <v>273.71195799999998</v>
          </cell>
          <cell r="AI36">
            <v>567.11542499999996</v>
          </cell>
          <cell r="AJ36">
            <v>1233.6729640000001</v>
          </cell>
          <cell r="AK36">
            <v>38</v>
          </cell>
          <cell r="AL36">
            <v>103</v>
          </cell>
          <cell r="AM36">
            <v>308</v>
          </cell>
          <cell r="AN36">
            <v>582</v>
          </cell>
          <cell r="AO36">
            <v>941</v>
          </cell>
          <cell r="AP36">
            <v>10570.401386</v>
          </cell>
          <cell r="AQ36">
            <v>2062.685442</v>
          </cell>
          <cell r="AR36">
            <v>10284.874523</v>
          </cell>
          <cell r="AS36">
            <v>108.303293</v>
          </cell>
          <cell r="AT36">
            <v>266.819931</v>
          </cell>
          <cell r="AU36">
            <v>8920</v>
          </cell>
          <cell r="AV36">
            <v>1904</v>
          </cell>
          <cell r="AW36">
            <v>8787</v>
          </cell>
          <cell r="AX36">
            <v>45</v>
          </cell>
          <cell r="AY36">
            <v>81</v>
          </cell>
          <cell r="AZ36">
            <v>2037.0864819999999</v>
          </cell>
          <cell r="BA36">
            <v>388.90727900000002</v>
          </cell>
          <cell r="BB36">
            <v>563.17712300000005</v>
          </cell>
          <cell r="BC36">
            <v>563.17712300000005</v>
          </cell>
          <cell r="BD36">
            <v>521.82495700000004</v>
          </cell>
          <cell r="BE36">
            <v>352.47798999999998</v>
          </cell>
          <cell r="BF36">
            <v>550.37764300000003</v>
          </cell>
          <cell r="BG36">
            <v>510.01005199999997</v>
          </cell>
          <cell r="BH36">
            <v>511.97920299999998</v>
          </cell>
          <cell r="BI36">
            <v>34.460138999999998</v>
          </cell>
          <cell r="BJ36">
            <v>9.8457539999999995</v>
          </cell>
          <cell r="BK36">
            <v>52.182496</v>
          </cell>
          <cell r="BL36">
            <v>9.8457539999999995</v>
          </cell>
          <cell r="BM36">
            <v>2177.8807630000001</v>
          </cell>
          <cell r="BN36">
            <v>186.08474899999999</v>
          </cell>
          <cell r="BO36">
            <v>332.78648199999998</v>
          </cell>
          <cell r="BP36">
            <v>357.40086700000001</v>
          </cell>
          <cell r="BQ36">
            <v>1301.6086660000001</v>
          </cell>
          <cell r="BR36">
            <v>509.02547700000002</v>
          </cell>
          <cell r="BS36">
            <v>330.81733100000002</v>
          </cell>
          <cell r="BT36">
            <v>461.76585799999998</v>
          </cell>
          <cell r="BU36">
            <v>5681</v>
          </cell>
          <cell r="BV36">
            <v>482.44194099999999</v>
          </cell>
          <cell r="BW36">
            <v>984.57538999999997</v>
          </cell>
          <cell r="BX36">
            <v>1104.6935880000001</v>
          </cell>
          <cell r="BY36">
            <v>3109.2890809999999</v>
          </cell>
          <cell r="BZ36">
            <v>793.56776400000001</v>
          </cell>
          <cell r="CA36">
            <v>1558.582842</v>
          </cell>
          <cell r="CB36">
            <v>1814.5724439999999</v>
          </cell>
          <cell r="CC36">
            <v>6403.6783359999999</v>
          </cell>
          <cell r="CD36">
            <v>1783.0660310000001</v>
          </cell>
          <cell r="CE36">
            <v>370.20034700000002</v>
          </cell>
          <cell r="CF36">
            <v>138.82513</v>
          </cell>
          <cell r="CG36">
            <v>24.614384999999999</v>
          </cell>
          <cell r="CH36">
            <v>1588</v>
          </cell>
          <cell r="CI36">
            <v>338</v>
          </cell>
          <cell r="CJ36">
            <v>118</v>
          </cell>
          <cell r="CK36">
            <v>46</v>
          </cell>
          <cell r="CL36">
            <v>5681</v>
          </cell>
          <cell r="CM36">
            <v>4738.7613520000004</v>
          </cell>
          <cell r="CN36">
            <v>891.04072799999994</v>
          </cell>
          <cell r="CO36">
            <v>326.879029</v>
          </cell>
          <cell r="CP36">
            <v>51.197920000000003</v>
          </cell>
          <cell r="CQ36">
            <v>36829.027035999999</v>
          </cell>
          <cell r="CR36">
            <v>33695.123570000003</v>
          </cell>
          <cell r="CS36">
            <v>2801.1169839999998</v>
          </cell>
          <cell r="CT36">
            <v>1222.8426340000001</v>
          </cell>
          <cell r="CU36">
            <v>332.78648199999998</v>
          </cell>
          <cell r="CV36">
            <v>2137.5131719999999</v>
          </cell>
          <cell r="CW36">
            <v>9.8457539999999995</v>
          </cell>
          <cell r="CX36">
            <v>1148.9994799999999</v>
          </cell>
          <cell r="CY36">
            <v>729.57036400000004</v>
          </cell>
          <cell r="CZ36">
            <v>1934</v>
          </cell>
          <cell r="DA36">
            <v>8</v>
          </cell>
          <cell r="DB36">
            <v>1045</v>
          </cell>
          <cell r="DC36">
            <v>604</v>
          </cell>
          <cell r="DD36">
            <v>1769.281976</v>
          </cell>
          <cell r="DE36">
            <v>2046.9322360000001</v>
          </cell>
          <cell r="DF36">
            <v>818.18214899999998</v>
          </cell>
          <cell r="DG36">
            <v>1228.7500869999999</v>
          </cell>
          <cell r="DH36">
            <v>1972</v>
          </cell>
          <cell r="DI36">
            <v>1676</v>
          </cell>
          <cell r="DJ36">
            <v>1837</v>
          </cell>
          <cell r="DK36">
            <v>787</v>
          </cell>
          <cell r="DL36">
            <v>1050</v>
          </cell>
        </row>
        <row r="37">
          <cell r="A37" t="str">
            <v>37267</v>
          </cell>
          <cell r="B37" t="str">
            <v>Véretz</v>
          </cell>
          <cell r="C37" t="str">
            <v>CC de l'Est Tourangeau</v>
          </cell>
          <cell r="D37">
            <v>1476.2904109999999</v>
          </cell>
          <cell r="E37">
            <v>1366.2904109999999</v>
          </cell>
          <cell r="F37">
            <v>34.736842000000003</v>
          </cell>
          <cell r="G37">
            <v>75.263158000000004</v>
          </cell>
          <cell r="H37">
            <v>1126</v>
          </cell>
          <cell r="I37">
            <v>1028</v>
          </cell>
          <cell r="J37">
            <v>51</v>
          </cell>
          <cell r="K37">
            <v>47</v>
          </cell>
          <cell r="L37">
            <v>915</v>
          </cell>
          <cell r="M37">
            <v>828</v>
          </cell>
          <cell r="N37">
            <v>57</v>
          </cell>
          <cell r="O37">
            <v>30</v>
          </cell>
          <cell r="P37">
            <v>822</v>
          </cell>
          <cell r="Q37">
            <v>697</v>
          </cell>
          <cell r="R37">
            <v>84</v>
          </cell>
          <cell r="S37">
            <v>41</v>
          </cell>
          <cell r="T37">
            <v>494</v>
          </cell>
          <cell r="U37">
            <v>386</v>
          </cell>
          <cell r="V37">
            <v>72</v>
          </cell>
          <cell r="W37">
            <v>36</v>
          </cell>
          <cell r="X37">
            <v>415</v>
          </cell>
          <cell r="Y37">
            <v>314</v>
          </cell>
          <cell r="Z37">
            <v>57</v>
          </cell>
          <cell r="AA37">
            <v>44</v>
          </cell>
          <cell r="AB37">
            <v>1397.033349</v>
          </cell>
          <cell r="AC37">
            <v>71.68141</v>
          </cell>
          <cell r="AD37">
            <v>1077</v>
          </cell>
          <cell r="AE37">
            <v>26</v>
          </cell>
          <cell r="AF37">
            <v>1.8819429999999999</v>
          </cell>
          <cell r="AG37">
            <v>45.166625000000003</v>
          </cell>
          <cell r="AH37">
            <v>132.67696100000001</v>
          </cell>
          <cell r="AI37">
            <v>366.97882900000002</v>
          </cell>
          <cell r="AJ37">
            <v>819.586052</v>
          </cell>
          <cell r="AK37">
            <v>5</v>
          </cell>
          <cell r="AL37">
            <v>63</v>
          </cell>
          <cell r="AM37">
            <v>157</v>
          </cell>
          <cell r="AN37">
            <v>304</v>
          </cell>
          <cell r="AO37">
            <v>499</v>
          </cell>
          <cell r="AP37">
            <v>6743.000747</v>
          </cell>
          <cell r="AQ37">
            <v>1295.7175589999999</v>
          </cell>
          <cell r="AR37">
            <v>6510.5808219999999</v>
          </cell>
          <cell r="AS37">
            <v>64.927024000000003</v>
          </cell>
          <cell r="AT37">
            <v>212.659527</v>
          </cell>
          <cell r="AU37">
            <v>4678</v>
          </cell>
          <cell r="AV37">
            <v>988</v>
          </cell>
          <cell r="AW37">
            <v>4542</v>
          </cell>
          <cell r="AX37">
            <v>21</v>
          </cell>
          <cell r="AY37">
            <v>67</v>
          </cell>
          <cell r="AZ37">
            <v>1270.3113330000001</v>
          </cell>
          <cell r="BA37">
            <v>209.836613</v>
          </cell>
          <cell r="BB37">
            <v>127.972105</v>
          </cell>
          <cell r="BC37">
            <v>421.55516799999998</v>
          </cell>
          <cell r="BD37">
            <v>510.94744700000001</v>
          </cell>
          <cell r="BE37">
            <v>191.01718600000001</v>
          </cell>
          <cell r="BF37">
            <v>126.09016200000001</v>
          </cell>
          <cell r="BG37">
            <v>398.03088400000001</v>
          </cell>
          <cell r="BH37">
            <v>486.482192</v>
          </cell>
          <cell r="BI37">
            <v>16.937484000000001</v>
          </cell>
          <cell r="BJ37">
            <v>0.940971</v>
          </cell>
          <cell r="BK37">
            <v>21.642340999999998</v>
          </cell>
          <cell r="BL37">
            <v>23.524284000000002</v>
          </cell>
          <cell r="BM37">
            <v>1366.2904109999999</v>
          </cell>
          <cell r="BN37">
            <v>125.149191</v>
          </cell>
          <cell r="BO37">
            <v>259.70809500000001</v>
          </cell>
          <cell r="BP37">
            <v>373.565629</v>
          </cell>
          <cell r="BQ37">
            <v>607.86749699999996</v>
          </cell>
          <cell r="BR37">
            <v>223.010212</v>
          </cell>
          <cell r="BS37">
            <v>214.54146900000001</v>
          </cell>
          <cell r="BT37">
            <v>170.31581600000001</v>
          </cell>
          <cell r="BU37">
            <v>3778</v>
          </cell>
          <cell r="BV37">
            <v>328.39900399999999</v>
          </cell>
          <cell r="BW37">
            <v>785.71108300000003</v>
          </cell>
          <cell r="BX37">
            <v>1204.4433369999999</v>
          </cell>
          <cell r="BY37">
            <v>1459.4465749999999</v>
          </cell>
          <cell r="BZ37">
            <v>558.93698600000005</v>
          </cell>
          <cell r="CA37">
            <v>1242.0821920000001</v>
          </cell>
          <cell r="CB37">
            <v>1879.1198010000001</v>
          </cell>
          <cell r="CC37">
            <v>3062.8617680000002</v>
          </cell>
          <cell r="CD37">
            <v>1105.641345</v>
          </cell>
          <cell r="CE37">
            <v>254.06226699999999</v>
          </cell>
          <cell r="CF37">
            <v>68.690909000000005</v>
          </cell>
          <cell r="CG37">
            <v>6.5868000000000002</v>
          </cell>
          <cell r="CH37">
            <v>836</v>
          </cell>
          <cell r="CI37">
            <v>171</v>
          </cell>
          <cell r="CJ37">
            <v>49</v>
          </cell>
          <cell r="CK37">
            <v>21</v>
          </cell>
          <cell r="CL37">
            <v>3778</v>
          </cell>
          <cell r="CM37">
            <v>3082.622167</v>
          </cell>
          <cell r="CN37">
            <v>679.38131999999996</v>
          </cell>
          <cell r="CO37">
            <v>177.84358700000001</v>
          </cell>
          <cell r="CP37">
            <v>15.996513</v>
          </cell>
          <cell r="CQ37">
            <v>18255.785305000001</v>
          </cell>
          <cell r="CR37">
            <v>16857.501867999999</v>
          </cell>
          <cell r="CS37">
            <v>1305.1272730000001</v>
          </cell>
          <cell r="CT37">
            <v>446.96139499999998</v>
          </cell>
          <cell r="CU37">
            <v>93.156164000000004</v>
          </cell>
          <cell r="CV37">
            <v>1355.9397260000001</v>
          </cell>
          <cell r="CW37">
            <v>7.5277710000000004</v>
          </cell>
          <cell r="CX37">
            <v>606.92652599999997</v>
          </cell>
          <cell r="CY37">
            <v>543.88144499999999</v>
          </cell>
          <cell r="CZ37">
            <v>995</v>
          </cell>
          <cell r="DA37">
            <v>26</v>
          </cell>
          <cell r="DB37">
            <v>394</v>
          </cell>
          <cell r="DC37">
            <v>373</v>
          </cell>
          <cell r="DD37">
            <v>1090.5858029999999</v>
          </cell>
          <cell r="DE37">
            <v>1302.304359</v>
          </cell>
          <cell r="DF37">
            <v>407.44059800000002</v>
          </cell>
          <cell r="DG37">
            <v>894.86376099999995</v>
          </cell>
          <cell r="DH37">
            <v>1028</v>
          </cell>
          <cell r="DI37">
            <v>831</v>
          </cell>
          <cell r="DJ37">
            <v>957</v>
          </cell>
          <cell r="DK37">
            <v>374</v>
          </cell>
          <cell r="DL37">
            <v>583</v>
          </cell>
        </row>
        <row r="38">
          <cell r="A38" t="str">
            <v>37270</v>
          </cell>
          <cell r="B38" t="str">
            <v>Vernou-sur-Brenne</v>
          </cell>
          <cell r="C38" t="str">
            <v>Vouvrillon</v>
          </cell>
          <cell r="D38">
            <v>1191</v>
          </cell>
          <cell r="E38">
            <v>1057</v>
          </cell>
          <cell r="F38">
            <v>56</v>
          </cell>
          <cell r="G38">
            <v>78</v>
          </cell>
          <cell r="H38">
            <v>1057</v>
          </cell>
          <cell r="I38">
            <v>927</v>
          </cell>
          <cell r="J38">
            <v>60</v>
          </cell>
          <cell r="K38">
            <v>70</v>
          </cell>
          <cell r="L38">
            <v>945</v>
          </cell>
          <cell r="M38">
            <v>795</v>
          </cell>
          <cell r="N38">
            <v>91</v>
          </cell>
          <cell r="O38">
            <v>59</v>
          </cell>
          <cell r="P38">
            <v>845</v>
          </cell>
          <cell r="Q38">
            <v>719</v>
          </cell>
          <cell r="R38">
            <v>73</v>
          </cell>
          <cell r="S38">
            <v>53</v>
          </cell>
          <cell r="T38">
            <v>794</v>
          </cell>
          <cell r="U38">
            <v>653</v>
          </cell>
          <cell r="V38">
            <v>76</v>
          </cell>
          <cell r="W38">
            <v>65</v>
          </cell>
          <cell r="X38">
            <v>758</v>
          </cell>
          <cell r="Y38">
            <v>612</v>
          </cell>
          <cell r="Z38">
            <v>103</v>
          </cell>
          <cell r="AA38">
            <v>43</v>
          </cell>
          <cell r="AB38">
            <v>1063</v>
          </cell>
          <cell r="AC38">
            <v>120</v>
          </cell>
          <cell r="AD38">
            <v>915</v>
          </cell>
          <cell r="AE38">
            <v>102</v>
          </cell>
          <cell r="AF38">
            <v>16</v>
          </cell>
          <cell r="AG38">
            <v>79</v>
          </cell>
          <cell r="AH38">
            <v>178</v>
          </cell>
          <cell r="AI38">
            <v>281</v>
          </cell>
          <cell r="AJ38">
            <v>503</v>
          </cell>
          <cell r="AK38">
            <v>20</v>
          </cell>
          <cell r="AL38">
            <v>91</v>
          </cell>
          <cell r="AM38">
            <v>181</v>
          </cell>
          <cell r="AN38">
            <v>285</v>
          </cell>
          <cell r="AO38">
            <v>350</v>
          </cell>
          <cell r="AP38">
            <v>4803</v>
          </cell>
          <cell r="AQ38">
            <v>940</v>
          </cell>
          <cell r="AR38">
            <v>4472</v>
          </cell>
          <cell r="AS38">
            <v>111</v>
          </cell>
          <cell r="AT38">
            <v>318</v>
          </cell>
          <cell r="AU38">
            <v>3913</v>
          </cell>
          <cell r="AV38">
            <v>799</v>
          </cell>
          <cell r="AW38">
            <v>3529</v>
          </cell>
          <cell r="AX38">
            <v>95</v>
          </cell>
          <cell r="AY38">
            <v>284</v>
          </cell>
          <cell r="AZ38">
            <v>1025</v>
          </cell>
          <cell r="BA38">
            <v>420</v>
          </cell>
          <cell r="BB38">
            <v>199</v>
          </cell>
          <cell r="BC38">
            <v>193</v>
          </cell>
          <cell r="BD38">
            <v>213</v>
          </cell>
          <cell r="BE38">
            <v>360</v>
          </cell>
          <cell r="BF38">
            <v>181</v>
          </cell>
          <cell r="BG38">
            <v>162</v>
          </cell>
          <cell r="BH38">
            <v>206</v>
          </cell>
          <cell r="BI38">
            <v>58</v>
          </cell>
          <cell r="BJ38">
            <v>17</v>
          </cell>
          <cell r="BK38">
            <v>28</v>
          </cell>
          <cell r="BL38">
            <v>7</v>
          </cell>
          <cell r="BM38">
            <v>1057</v>
          </cell>
          <cell r="BN38">
            <v>109</v>
          </cell>
          <cell r="BO38">
            <v>175</v>
          </cell>
          <cell r="BP38">
            <v>215</v>
          </cell>
          <cell r="BQ38">
            <v>558</v>
          </cell>
          <cell r="BR38">
            <v>179</v>
          </cell>
          <cell r="BS38">
            <v>161</v>
          </cell>
          <cell r="BT38">
            <v>218</v>
          </cell>
          <cell r="BU38">
            <v>2580</v>
          </cell>
          <cell r="BV38">
            <v>255</v>
          </cell>
          <cell r="BW38">
            <v>460</v>
          </cell>
          <cell r="BX38">
            <v>608</v>
          </cell>
          <cell r="BY38">
            <v>1257</v>
          </cell>
          <cell r="BZ38">
            <v>432</v>
          </cell>
          <cell r="CA38">
            <v>766</v>
          </cell>
          <cell r="CB38">
            <v>1023</v>
          </cell>
          <cell r="CC38">
            <v>2582</v>
          </cell>
          <cell r="CD38">
            <v>802</v>
          </cell>
          <cell r="CE38">
            <v>238</v>
          </cell>
          <cell r="CF38">
            <v>66</v>
          </cell>
          <cell r="CG38">
            <v>17</v>
          </cell>
          <cell r="CH38">
            <v>682</v>
          </cell>
          <cell r="CI38">
            <v>188</v>
          </cell>
          <cell r="CJ38">
            <v>50</v>
          </cell>
          <cell r="CK38">
            <v>57</v>
          </cell>
          <cell r="CL38">
            <v>2580</v>
          </cell>
          <cell r="CM38">
            <v>2007</v>
          </cell>
          <cell r="CN38">
            <v>537</v>
          </cell>
          <cell r="CO38">
            <v>172</v>
          </cell>
          <cell r="CP38">
            <v>36</v>
          </cell>
          <cell r="CQ38">
            <v>18263</v>
          </cell>
          <cell r="CR38">
            <v>16631</v>
          </cell>
          <cell r="CS38">
            <v>1501</v>
          </cell>
          <cell r="CT38">
            <v>600</v>
          </cell>
          <cell r="CU38">
            <v>131</v>
          </cell>
          <cell r="CV38">
            <v>1021</v>
          </cell>
          <cell r="CW38">
            <v>22</v>
          </cell>
          <cell r="CX38">
            <v>583</v>
          </cell>
          <cell r="CY38">
            <v>255</v>
          </cell>
          <cell r="CZ38">
            <v>893</v>
          </cell>
          <cell r="DA38">
            <v>22</v>
          </cell>
          <cell r="DB38">
            <v>489</v>
          </cell>
          <cell r="DC38">
            <v>204</v>
          </cell>
          <cell r="DD38">
            <v>796</v>
          </cell>
          <cell r="DE38">
            <v>936</v>
          </cell>
          <cell r="DF38">
            <v>434</v>
          </cell>
          <cell r="DG38">
            <v>502</v>
          </cell>
          <cell r="DH38">
            <v>927</v>
          </cell>
          <cell r="DI38">
            <v>689</v>
          </cell>
          <cell r="DJ38">
            <v>813</v>
          </cell>
          <cell r="DK38">
            <v>400</v>
          </cell>
          <cell r="DL38">
            <v>413</v>
          </cell>
        </row>
        <row r="39">
          <cell r="A39" t="str">
            <v>37272</v>
          </cell>
          <cell r="B39" t="str">
            <v>Villandry</v>
          </cell>
          <cell r="C39" t="str">
            <v>Tour(s)plus</v>
          </cell>
          <cell r="D39">
            <v>485.10452099999998</v>
          </cell>
          <cell r="E39">
            <v>391.61614800000001</v>
          </cell>
          <cell r="F39">
            <v>74.167018999999996</v>
          </cell>
          <cell r="G39">
            <v>19.321352999999998</v>
          </cell>
          <cell r="H39">
            <v>434</v>
          </cell>
          <cell r="I39">
            <v>342</v>
          </cell>
          <cell r="J39">
            <v>65</v>
          </cell>
          <cell r="K39">
            <v>27</v>
          </cell>
          <cell r="L39">
            <v>405</v>
          </cell>
          <cell r="M39">
            <v>273</v>
          </cell>
          <cell r="N39">
            <v>116</v>
          </cell>
          <cell r="O39">
            <v>16</v>
          </cell>
          <cell r="P39">
            <v>346</v>
          </cell>
          <cell r="Q39">
            <v>248</v>
          </cell>
          <cell r="R39">
            <v>72</v>
          </cell>
          <cell r="S39">
            <v>26</v>
          </cell>
          <cell r="T39">
            <v>327</v>
          </cell>
          <cell r="U39">
            <v>216</v>
          </cell>
          <cell r="V39">
            <v>79</v>
          </cell>
          <cell r="W39">
            <v>32</v>
          </cell>
          <cell r="X39">
            <v>304</v>
          </cell>
          <cell r="Y39">
            <v>212</v>
          </cell>
          <cell r="Z39">
            <v>63</v>
          </cell>
          <cell r="AA39">
            <v>29</v>
          </cell>
          <cell r="AB39">
            <v>457.64336500000002</v>
          </cell>
          <cell r="AC39">
            <v>7.1854240000000003</v>
          </cell>
          <cell r="AD39">
            <v>424</v>
          </cell>
          <cell r="AE39">
            <v>2</v>
          </cell>
          <cell r="AF39">
            <v>3.0842550000000002</v>
          </cell>
          <cell r="AG39">
            <v>22.617871000000001</v>
          </cell>
          <cell r="AH39">
            <v>55.516593</v>
          </cell>
          <cell r="AI39">
            <v>101.78042000000001</v>
          </cell>
          <cell r="AJ39">
            <v>208.61700999999999</v>
          </cell>
          <cell r="AK39">
            <v>5</v>
          </cell>
          <cell r="AL39">
            <v>33</v>
          </cell>
          <cell r="AM39">
            <v>65</v>
          </cell>
          <cell r="AN39">
            <v>83</v>
          </cell>
          <cell r="AO39">
            <v>156</v>
          </cell>
          <cell r="AP39">
            <v>1833.6824509999999</v>
          </cell>
          <cell r="AQ39">
            <v>377.30721299999999</v>
          </cell>
          <cell r="AR39">
            <v>1784.755645</v>
          </cell>
          <cell r="AS39">
            <v>6.1685100000000004</v>
          </cell>
          <cell r="AT39">
            <v>21.589786</v>
          </cell>
          <cell r="AU39">
            <v>1490</v>
          </cell>
          <cell r="AV39">
            <v>334</v>
          </cell>
          <cell r="AW39">
            <v>1471</v>
          </cell>
          <cell r="AX39">
            <v>1</v>
          </cell>
          <cell r="AY39">
            <v>2</v>
          </cell>
          <cell r="AZ39">
            <v>390.58806299999998</v>
          </cell>
          <cell r="BA39">
            <v>193.19573399999999</v>
          </cell>
          <cell r="BB39">
            <v>44.207656999999998</v>
          </cell>
          <cell r="BC39">
            <v>60.657018000000001</v>
          </cell>
          <cell r="BD39">
            <v>92.527653999999998</v>
          </cell>
          <cell r="BE39">
            <v>182.99913900000001</v>
          </cell>
          <cell r="BF39">
            <v>43.179572</v>
          </cell>
          <cell r="BG39">
            <v>60.657018000000001</v>
          </cell>
          <cell r="BH39">
            <v>89.443398999999999</v>
          </cell>
          <cell r="BI39">
            <v>4.1123399999999997</v>
          </cell>
          <cell r="BJ39">
            <v>1.0280849999999999</v>
          </cell>
          <cell r="BK39">
            <v>0</v>
          </cell>
          <cell r="BL39">
            <v>1.0280849999999999</v>
          </cell>
          <cell r="BM39">
            <v>391.61614800000001</v>
          </cell>
          <cell r="BN39">
            <v>35.982976999999998</v>
          </cell>
          <cell r="BO39">
            <v>69.909783000000004</v>
          </cell>
          <cell r="BP39">
            <v>85.331058999999996</v>
          </cell>
          <cell r="BQ39">
            <v>200.39232899999999</v>
          </cell>
          <cell r="BR39">
            <v>82.246803999999997</v>
          </cell>
          <cell r="BS39">
            <v>55.516593</v>
          </cell>
          <cell r="BT39">
            <v>62.628933000000004</v>
          </cell>
          <cell r="BU39">
            <v>1077.348876</v>
          </cell>
          <cell r="BV39">
            <v>91.499568999999994</v>
          </cell>
          <cell r="BW39">
            <v>197.39232899999999</v>
          </cell>
          <cell r="BX39">
            <v>291.97615400000001</v>
          </cell>
          <cell r="BY39">
            <v>496.48082299999999</v>
          </cell>
          <cell r="BZ39">
            <v>142.90382199999999</v>
          </cell>
          <cell r="CA39">
            <v>313.56594000000001</v>
          </cell>
          <cell r="CB39">
            <v>417.40253000000001</v>
          </cell>
          <cell r="CC39">
            <v>959.81016</v>
          </cell>
          <cell r="CD39">
            <v>326.93104599999998</v>
          </cell>
          <cell r="CE39">
            <v>58.516593</v>
          </cell>
          <cell r="CF39">
            <v>6.1685100000000004</v>
          </cell>
          <cell r="CG39">
            <v>6.1685100000000004</v>
          </cell>
          <cell r="CH39">
            <v>278</v>
          </cell>
          <cell r="CI39">
            <v>53</v>
          </cell>
          <cell r="CJ39">
            <v>6</v>
          </cell>
          <cell r="CK39">
            <v>11</v>
          </cell>
          <cell r="CL39">
            <v>1077.348876</v>
          </cell>
          <cell r="CM39">
            <v>925.27654399999994</v>
          </cell>
          <cell r="CN39">
            <v>143.84765200000001</v>
          </cell>
          <cell r="CO39">
            <v>19.533615999999999</v>
          </cell>
          <cell r="CP39">
            <v>8.2246799999999993</v>
          </cell>
          <cell r="CQ39">
            <v>6038.0788169999996</v>
          </cell>
          <cell r="CR39">
            <v>5419.0362919999998</v>
          </cell>
          <cell r="CS39">
            <v>559.41359199999999</v>
          </cell>
          <cell r="CT39">
            <v>13.365106000000001</v>
          </cell>
          <cell r="CU39">
            <v>59.628933000000004</v>
          </cell>
          <cell r="CV39">
            <v>374.13870300000002</v>
          </cell>
          <cell r="CW39">
            <v>6.0842549999999997</v>
          </cell>
          <cell r="CX39">
            <v>194.308074</v>
          </cell>
          <cell r="CY39">
            <v>99.724249999999998</v>
          </cell>
          <cell r="CZ39">
            <v>321</v>
          </cell>
          <cell r="DA39">
            <v>6</v>
          </cell>
          <cell r="DB39">
            <v>147</v>
          </cell>
          <cell r="DC39">
            <v>69</v>
          </cell>
          <cell r="DD39">
            <v>313.48168500000003</v>
          </cell>
          <cell r="DE39">
            <v>367.970192</v>
          </cell>
          <cell r="DF39">
            <v>135.62297100000001</v>
          </cell>
          <cell r="DG39">
            <v>232.34722099999999</v>
          </cell>
          <cell r="DH39">
            <v>342</v>
          </cell>
          <cell r="DI39">
            <v>242</v>
          </cell>
          <cell r="DJ39">
            <v>318</v>
          </cell>
          <cell r="DK39">
            <v>129</v>
          </cell>
          <cell r="DL39">
            <v>189</v>
          </cell>
        </row>
        <row r="40">
          <cell r="A40" t="str">
            <v>37273</v>
          </cell>
          <cell r="B40" t="str">
            <v>La Ville-aux-Dames</v>
          </cell>
          <cell r="C40" t="str">
            <v>CC de l'Est Tourangeau</v>
          </cell>
          <cell r="D40">
            <v>1822</v>
          </cell>
          <cell r="E40">
            <v>1775</v>
          </cell>
          <cell r="F40">
            <v>1</v>
          </cell>
          <cell r="G40">
            <v>46</v>
          </cell>
          <cell r="H40">
            <v>1690</v>
          </cell>
          <cell r="I40">
            <v>1638</v>
          </cell>
          <cell r="J40">
            <v>13</v>
          </cell>
          <cell r="K40">
            <v>39</v>
          </cell>
          <cell r="L40">
            <v>1396</v>
          </cell>
          <cell r="M40">
            <v>1359</v>
          </cell>
          <cell r="N40">
            <v>7</v>
          </cell>
          <cell r="O40">
            <v>30</v>
          </cell>
          <cell r="P40">
            <v>1118</v>
          </cell>
          <cell r="Q40">
            <v>1077</v>
          </cell>
          <cell r="R40">
            <v>10</v>
          </cell>
          <cell r="S40">
            <v>31</v>
          </cell>
          <cell r="T40">
            <v>754</v>
          </cell>
          <cell r="U40">
            <v>722</v>
          </cell>
          <cell r="V40">
            <v>10</v>
          </cell>
          <cell r="W40">
            <v>22</v>
          </cell>
          <cell r="X40">
            <v>520</v>
          </cell>
          <cell r="Y40">
            <v>504</v>
          </cell>
          <cell r="Z40">
            <v>2</v>
          </cell>
          <cell r="AA40">
            <v>14</v>
          </cell>
          <cell r="AB40">
            <v>1567</v>
          </cell>
          <cell r="AC40">
            <v>247</v>
          </cell>
          <cell r="AD40">
            <v>1462</v>
          </cell>
          <cell r="AE40">
            <v>219</v>
          </cell>
          <cell r="AF40">
            <v>31</v>
          </cell>
          <cell r="AG40">
            <v>80</v>
          </cell>
          <cell r="AH40">
            <v>294</v>
          </cell>
          <cell r="AI40">
            <v>631</v>
          </cell>
          <cell r="AJ40">
            <v>739</v>
          </cell>
          <cell r="AK40">
            <v>16</v>
          </cell>
          <cell r="AL40">
            <v>91</v>
          </cell>
          <cell r="AM40">
            <v>281</v>
          </cell>
          <cell r="AN40">
            <v>639</v>
          </cell>
          <cell r="AO40">
            <v>611</v>
          </cell>
          <cell r="AP40">
            <v>7688</v>
          </cell>
          <cell r="AQ40">
            <v>1530</v>
          </cell>
          <cell r="AR40">
            <v>6961</v>
          </cell>
          <cell r="AS40">
            <v>237</v>
          </cell>
          <cell r="AT40">
            <v>712</v>
          </cell>
          <cell r="AU40">
            <v>6917</v>
          </cell>
          <cell r="AV40">
            <v>1414</v>
          </cell>
          <cell r="AW40">
            <v>6229</v>
          </cell>
          <cell r="AX40">
            <v>215</v>
          </cell>
          <cell r="AY40">
            <v>662</v>
          </cell>
          <cell r="AZ40">
            <v>1708</v>
          </cell>
          <cell r="BA40">
            <v>172</v>
          </cell>
          <cell r="BB40">
            <v>420</v>
          </cell>
          <cell r="BC40">
            <v>705</v>
          </cell>
          <cell r="BD40">
            <v>411</v>
          </cell>
          <cell r="BE40">
            <v>165</v>
          </cell>
          <cell r="BF40">
            <v>397</v>
          </cell>
          <cell r="BG40">
            <v>609</v>
          </cell>
          <cell r="BH40">
            <v>293</v>
          </cell>
          <cell r="BI40">
            <v>5</v>
          </cell>
          <cell r="BJ40">
            <v>22</v>
          </cell>
          <cell r="BK40">
            <v>94</v>
          </cell>
          <cell r="BL40">
            <v>115</v>
          </cell>
          <cell r="BM40">
            <v>1775</v>
          </cell>
          <cell r="BN40">
            <v>164</v>
          </cell>
          <cell r="BO40">
            <v>273</v>
          </cell>
          <cell r="BP40">
            <v>283</v>
          </cell>
          <cell r="BQ40">
            <v>1055</v>
          </cell>
          <cell r="BR40">
            <v>331</v>
          </cell>
          <cell r="BS40">
            <v>347</v>
          </cell>
          <cell r="BT40">
            <v>377</v>
          </cell>
          <cell r="BU40">
            <v>4469</v>
          </cell>
          <cell r="BV40">
            <v>414</v>
          </cell>
          <cell r="BW40">
            <v>728</v>
          </cell>
          <cell r="BX40">
            <v>822</v>
          </cell>
          <cell r="BY40">
            <v>2505</v>
          </cell>
          <cell r="BZ40">
            <v>654</v>
          </cell>
          <cell r="CA40">
            <v>1094</v>
          </cell>
          <cell r="CB40">
            <v>1235</v>
          </cell>
          <cell r="CC40">
            <v>4705</v>
          </cell>
          <cell r="CD40">
            <v>1359</v>
          </cell>
          <cell r="CE40">
            <v>398</v>
          </cell>
          <cell r="CF40">
            <v>213</v>
          </cell>
          <cell r="CG40">
            <v>18</v>
          </cell>
          <cell r="CH40">
            <v>1253</v>
          </cell>
          <cell r="CI40">
            <v>369</v>
          </cell>
          <cell r="CJ40">
            <v>215</v>
          </cell>
          <cell r="CK40">
            <v>16</v>
          </cell>
          <cell r="CL40">
            <v>4469</v>
          </cell>
          <cell r="CM40">
            <v>3483</v>
          </cell>
          <cell r="CN40">
            <v>954</v>
          </cell>
          <cell r="CO40">
            <v>499</v>
          </cell>
          <cell r="CP40">
            <v>32</v>
          </cell>
          <cell r="CQ40">
            <v>30198</v>
          </cell>
          <cell r="CR40">
            <v>27480</v>
          </cell>
          <cell r="CS40">
            <v>2444</v>
          </cell>
          <cell r="CT40">
            <v>1371</v>
          </cell>
          <cell r="CU40">
            <v>274</v>
          </cell>
          <cell r="CV40">
            <v>1728</v>
          </cell>
          <cell r="CW40">
            <v>59</v>
          </cell>
          <cell r="CX40">
            <v>1235</v>
          </cell>
          <cell r="CY40">
            <v>313</v>
          </cell>
          <cell r="CZ40">
            <v>1603</v>
          </cell>
          <cell r="DA40">
            <v>21</v>
          </cell>
          <cell r="DB40">
            <v>1208</v>
          </cell>
          <cell r="DC40">
            <v>244</v>
          </cell>
          <cell r="DD40">
            <v>1337</v>
          </cell>
          <cell r="DE40">
            <v>1633</v>
          </cell>
          <cell r="DF40">
            <v>789</v>
          </cell>
          <cell r="DG40">
            <v>844</v>
          </cell>
          <cell r="DH40">
            <v>1638</v>
          </cell>
          <cell r="DI40">
            <v>1346</v>
          </cell>
          <cell r="DJ40">
            <v>1538</v>
          </cell>
          <cell r="DK40">
            <v>765</v>
          </cell>
          <cell r="DL40">
            <v>773</v>
          </cell>
        </row>
        <row r="41">
          <cell r="A41" t="str">
            <v>37281</v>
          </cell>
          <cell r="B41" t="str">
            <v>Vouvray</v>
          </cell>
          <cell r="C41" t="str">
            <v>Vouvrillon</v>
          </cell>
          <cell r="D41">
            <v>1436</v>
          </cell>
          <cell r="E41">
            <v>1240</v>
          </cell>
          <cell r="F41">
            <v>67</v>
          </cell>
          <cell r="G41">
            <v>129</v>
          </cell>
          <cell r="H41">
            <v>1333</v>
          </cell>
          <cell r="I41">
            <v>1170</v>
          </cell>
          <cell r="J41">
            <v>88</v>
          </cell>
          <cell r="K41">
            <v>75</v>
          </cell>
          <cell r="L41">
            <v>1299</v>
          </cell>
          <cell r="M41">
            <v>1070</v>
          </cell>
          <cell r="N41">
            <v>134</v>
          </cell>
          <cell r="O41">
            <v>95</v>
          </cell>
          <cell r="P41">
            <v>1136</v>
          </cell>
          <cell r="Q41">
            <v>912</v>
          </cell>
          <cell r="R41">
            <v>120</v>
          </cell>
          <cell r="S41">
            <v>104</v>
          </cell>
          <cell r="T41">
            <v>1067</v>
          </cell>
          <cell r="U41">
            <v>894</v>
          </cell>
          <cell r="V41">
            <v>90</v>
          </cell>
          <cell r="W41">
            <v>83</v>
          </cell>
          <cell r="X41">
            <v>996</v>
          </cell>
          <cell r="Y41">
            <v>865</v>
          </cell>
          <cell r="Z41">
            <v>84</v>
          </cell>
          <cell r="AA41">
            <v>47</v>
          </cell>
          <cell r="AB41">
            <v>1207</v>
          </cell>
          <cell r="AC41">
            <v>216</v>
          </cell>
          <cell r="AD41">
            <v>1117</v>
          </cell>
          <cell r="AE41">
            <v>168</v>
          </cell>
          <cell r="AF41">
            <v>17</v>
          </cell>
          <cell r="AG41">
            <v>105</v>
          </cell>
          <cell r="AH41">
            <v>260</v>
          </cell>
          <cell r="AI41">
            <v>300</v>
          </cell>
          <cell r="AJ41">
            <v>558</v>
          </cell>
          <cell r="AK41">
            <v>29</v>
          </cell>
          <cell r="AL41">
            <v>132</v>
          </cell>
          <cell r="AM41">
            <v>231</v>
          </cell>
          <cell r="AN41">
            <v>327</v>
          </cell>
          <cell r="AO41">
            <v>451</v>
          </cell>
          <cell r="AP41">
            <v>5602</v>
          </cell>
          <cell r="AQ41">
            <v>1037</v>
          </cell>
          <cell r="AR41">
            <v>4965</v>
          </cell>
          <cell r="AS41">
            <v>194</v>
          </cell>
          <cell r="AT41">
            <v>615</v>
          </cell>
          <cell r="AU41">
            <v>4976</v>
          </cell>
          <cell r="AV41">
            <v>974</v>
          </cell>
          <cell r="AW41">
            <v>4354</v>
          </cell>
          <cell r="AX41">
            <v>155</v>
          </cell>
          <cell r="AY41">
            <v>505</v>
          </cell>
          <cell r="AZ41">
            <v>1219</v>
          </cell>
          <cell r="BA41">
            <v>518</v>
          </cell>
          <cell r="BB41">
            <v>227</v>
          </cell>
          <cell r="BC41">
            <v>277</v>
          </cell>
          <cell r="BD41">
            <v>197</v>
          </cell>
          <cell r="BE41">
            <v>463</v>
          </cell>
          <cell r="BF41">
            <v>200</v>
          </cell>
          <cell r="BG41">
            <v>224</v>
          </cell>
          <cell r="BH41">
            <v>131</v>
          </cell>
          <cell r="BI41">
            <v>47</v>
          </cell>
          <cell r="BJ41">
            <v>27</v>
          </cell>
          <cell r="BK41">
            <v>53</v>
          </cell>
          <cell r="BL41">
            <v>65</v>
          </cell>
          <cell r="BM41">
            <v>1240</v>
          </cell>
          <cell r="BN41">
            <v>145</v>
          </cell>
          <cell r="BO41">
            <v>224</v>
          </cell>
          <cell r="BP41">
            <v>187</v>
          </cell>
          <cell r="BQ41">
            <v>684</v>
          </cell>
          <cell r="BR41">
            <v>270</v>
          </cell>
          <cell r="BS41">
            <v>201</v>
          </cell>
          <cell r="BT41">
            <v>213</v>
          </cell>
          <cell r="BU41">
            <v>3021</v>
          </cell>
          <cell r="BV41">
            <v>339</v>
          </cell>
          <cell r="BW41">
            <v>574</v>
          </cell>
          <cell r="BX41">
            <v>542</v>
          </cell>
          <cell r="BY41">
            <v>1566</v>
          </cell>
          <cell r="BZ41">
            <v>546</v>
          </cell>
          <cell r="CA41">
            <v>934</v>
          </cell>
          <cell r="CB41">
            <v>884</v>
          </cell>
          <cell r="CC41">
            <v>3238</v>
          </cell>
          <cell r="CD41">
            <v>858</v>
          </cell>
          <cell r="CE41">
            <v>338</v>
          </cell>
          <cell r="CF41">
            <v>99</v>
          </cell>
          <cell r="CG41">
            <v>44</v>
          </cell>
          <cell r="CH41">
            <v>790</v>
          </cell>
          <cell r="CI41">
            <v>305</v>
          </cell>
          <cell r="CJ41">
            <v>91</v>
          </cell>
          <cell r="CK41">
            <v>75</v>
          </cell>
          <cell r="CL41">
            <v>3021</v>
          </cell>
          <cell r="CM41">
            <v>2165</v>
          </cell>
          <cell r="CN41">
            <v>743</v>
          </cell>
          <cell r="CO41">
            <v>196</v>
          </cell>
          <cell r="CP41">
            <v>113</v>
          </cell>
          <cell r="CQ41">
            <v>19840</v>
          </cell>
          <cell r="CR41">
            <v>16998</v>
          </cell>
          <cell r="CS41">
            <v>2268</v>
          </cell>
          <cell r="CT41">
            <v>952</v>
          </cell>
          <cell r="CU41">
            <v>574</v>
          </cell>
          <cell r="CV41">
            <v>1186</v>
          </cell>
          <cell r="CW41">
            <v>41</v>
          </cell>
          <cell r="CX41">
            <v>712</v>
          </cell>
          <cell r="CY41">
            <v>311</v>
          </cell>
          <cell r="CZ41">
            <v>1116</v>
          </cell>
          <cell r="DA41">
            <v>31</v>
          </cell>
          <cell r="DB41">
            <v>637</v>
          </cell>
          <cell r="DC41">
            <v>287</v>
          </cell>
          <cell r="DD41">
            <v>789</v>
          </cell>
          <cell r="DE41">
            <v>1100</v>
          </cell>
          <cell r="DF41">
            <v>523</v>
          </cell>
          <cell r="DG41">
            <v>577</v>
          </cell>
          <cell r="DH41">
            <v>1170</v>
          </cell>
          <cell r="DI41">
            <v>755</v>
          </cell>
          <cell r="DJ41">
            <v>1035</v>
          </cell>
          <cell r="DK41">
            <v>510</v>
          </cell>
          <cell r="DL41">
            <v>525</v>
          </cell>
        </row>
      </sheetData>
      <sheetData sheetId="6">
        <row r="1">
          <cell r="A1" t="str">
            <v>Code géographique</v>
          </cell>
          <cell r="B1" t="str">
            <v>Libellé géographique</v>
          </cell>
          <cell r="C1" t="str">
            <v>EPCI administratives 2010</v>
          </cell>
          <cell r="D1" t="str">
            <v>Population en 2006 (princ)</v>
          </cell>
          <cell r="E1" t="str">
            <v>Population en 1999 (princ)</v>
          </cell>
          <cell r="F1" t="str">
            <v>Population en 1990 (dnbt)</v>
          </cell>
          <cell r="G1" t="str">
            <v>Population en 1982 (dnbt)</v>
          </cell>
          <cell r="H1" t="str">
            <v>Population en 1975 (dnbt)</v>
          </cell>
          <cell r="I1" t="str">
            <v>Population en 1968 (dnbt)</v>
          </cell>
          <cell r="J1" t="str">
            <v>Superficie (en km²)</v>
          </cell>
          <cell r="K1" t="str">
            <v>Naissances 1999-2006</v>
          </cell>
          <cell r="L1" t="str">
            <v>Naissances 1990-1999</v>
          </cell>
          <cell r="M1" t="str">
            <v>Naissances 1982-1990</v>
          </cell>
          <cell r="N1" t="str">
            <v>Naissances 1975-1982</v>
          </cell>
          <cell r="O1" t="str">
            <v>Naissances 1968-1975</v>
          </cell>
          <cell r="P1" t="str">
            <v>Décès 1999-2006</v>
          </cell>
          <cell r="Q1" t="str">
            <v>Décès 1990-1999</v>
          </cell>
          <cell r="R1" t="str">
            <v>Décès 1982-1990</v>
          </cell>
          <cell r="S1" t="str">
            <v>Décès 1975-1982</v>
          </cell>
          <cell r="T1" t="str">
            <v>Décès 1968-1975</v>
          </cell>
          <cell r="U1" t="str">
            <v>Naissances en 2007</v>
          </cell>
          <cell r="V1" t="str">
            <v>Naissances en 2006</v>
          </cell>
          <cell r="W1" t="str">
            <v>Naissances en 2005</v>
          </cell>
          <cell r="X1" t="str">
            <v>Naissances en 2004</v>
          </cell>
          <cell r="Y1" t="str">
            <v>Naissances en 2003</v>
          </cell>
          <cell r="Z1" t="str">
            <v>Naissances en 2002</v>
          </cell>
          <cell r="AA1" t="str">
            <v>Naissances en 2001</v>
          </cell>
          <cell r="AB1" t="str">
            <v>Naissances en 2000</v>
          </cell>
          <cell r="AC1" t="str">
            <v>Naissances en 1999</v>
          </cell>
          <cell r="AD1" t="str">
            <v>Naissances en 1998</v>
          </cell>
          <cell r="AE1" t="str">
            <v>Décès en 2007</v>
          </cell>
          <cell r="AF1" t="str">
            <v>Décès en 2006</v>
          </cell>
          <cell r="AG1" t="str">
            <v>Décès en 2005</v>
          </cell>
          <cell r="AH1" t="str">
            <v>Décès en 2004</v>
          </cell>
          <cell r="AI1" t="str">
            <v>Décès en 2003</v>
          </cell>
          <cell r="AJ1" t="str">
            <v>Décès en 2002</v>
          </cell>
          <cell r="AK1" t="str">
            <v>Décès en 2001</v>
          </cell>
          <cell r="AL1" t="str">
            <v>Décès en 2000</v>
          </cell>
          <cell r="AM1" t="str">
            <v>Décès en 1999</v>
          </cell>
          <cell r="AN1" t="str">
            <v>Décès en 1998</v>
          </cell>
          <cell r="AO1" t="str">
            <v>Pop 0-14 ans en 2006 (princ)</v>
          </cell>
          <cell r="AP1" t="str">
            <v>Pop 15-29 ans en 2006 (princ)</v>
          </cell>
          <cell r="AQ1" t="str">
            <v>Pop 30-44 ans en 2006 (princ)</v>
          </cell>
          <cell r="AR1" t="str">
            <v>Pop 45-59 ans en 2006 (princ)</v>
          </cell>
          <cell r="AS1" t="str">
            <v>Pop 60-74 ans en 2006 (princ)</v>
          </cell>
          <cell r="AT1" t="str">
            <v>Pop 75 ans ou plus en 2006 (princ)</v>
          </cell>
          <cell r="AU1" t="str">
            <v>Pop 0-14 ans en 1999 (princ)</v>
          </cell>
          <cell r="AV1" t="str">
            <v>Pop 15-29 ans en 1999 (princ)</v>
          </cell>
          <cell r="AW1" t="str">
            <v>Pop 30-44 ans en 1999 (princ)</v>
          </cell>
          <cell r="AX1" t="str">
            <v>Pop 45-59 ans en 1999 (princ)</v>
          </cell>
          <cell r="AY1" t="str">
            <v>Pop 60-74 ans en 1999 (princ)</v>
          </cell>
          <cell r="AZ1" t="str">
            <v>Pop 75 ans ou plus en 1999 (princ)</v>
          </cell>
          <cell r="BA1" t="str">
            <v>Pop Hommes en 2006 (princ)</v>
          </cell>
          <cell r="BB1" t="str">
            <v>Pop Hommes 0-14 ans en 2006 (princ)</v>
          </cell>
          <cell r="BC1" t="str">
            <v>Pop Hommes 15-29 ans en 2006 (princ)</v>
          </cell>
          <cell r="BD1" t="str">
            <v>Pop Hommes 30-44 ans en 2006 (princ)</v>
          </cell>
          <cell r="BE1" t="str">
            <v>Pop Hommes 45-59 ans en 2006 (princ)</v>
          </cell>
          <cell r="BF1" t="str">
            <v>Pop Hommes 60-74 ans en 2006 (princ)</v>
          </cell>
          <cell r="BG1" t="str">
            <v>Pop Hommes 75-89 ans en 2006 (princ)</v>
          </cell>
          <cell r="BH1" t="str">
            <v>Pop Hommes 90 ans ou plus en 2006 (princ)</v>
          </cell>
          <cell r="BI1" t="str">
            <v>Pop Hommes 0-19 ans en 2006 (princ)</v>
          </cell>
          <cell r="BJ1" t="str">
            <v>Pop Hommes 20-64 ans en 2006 (princ)</v>
          </cell>
          <cell r="BK1" t="str">
            <v>Pop Hommes 65 ans ou plus en 2006 (princ)</v>
          </cell>
          <cell r="BL1" t="str">
            <v>Pop Femmes en 2006 (princ)</v>
          </cell>
          <cell r="BM1" t="str">
            <v>Pop Femmes 0-14 ans en 2006 (princ)</v>
          </cell>
          <cell r="BN1" t="str">
            <v>Pop Femmes 15-29 ans en 2006 (princ)</v>
          </cell>
          <cell r="BO1" t="str">
            <v>Pop Femmes 30-44 ans en 2006 (princ)</v>
          </cell>
          <cell r="BP1" t="str">
            <v>Pop Femmes 45-59 ans en 2006 (princ)</v>
          </cell>
          <cell r="BQ1" t="str">
            <v>Pop Femmes 60-74 ans en 2006 (princ)</v>
          </cell>
          <cell r="BR1" t="str">
            <v>Pop Femmes 75-89 ans en 2006 (princ)</v>
          </cell>
          <cell r="BS1" t="str">
            <v>Pop Femmes 90 ans ou plus en 2006 (princ)</v>
          </cell>
          <cell r="BT1" t="str">
            <v>Pop Femmes 0-19 ans en 2006 (princ)</v>
          </cell>
          <cell r="BU1" t="str">
            <v>Pop Femmes 20-64 ans en 2006 (princ)</v>
          </cell>
          <cell r="BV1" t="str">
            <v>Pop Femmes 65 ans ou plus en 2006 (princ)</v>
          </cell>
          <cell r="BW1" t="str">
            <v>Pop 5 ans ou plus en 2006 (princ)</v>
          </cell>
          <cell r="BX1" t="str">
            <v>Pop 5 ans ou plus habitant 5 ans avt même logt en 2006 (princ)</v>
          </cell>
          <cell r="BY1" t="str">
            <v>Pop 5 ans ou plus habitant 5 ans avt autre logt même commune en 2006 (princ)</v>
          </cell>
          <cell r="BZ1" t="str">
            <v>Pop 5 ans ou plus habitant 5 ans avt autre commune même dépt en 2006 (princ)</v>
          </cell>
          <cell r="CA1" t="str">
            <v>Pop 5 ans ou plus habitant 5 ans avt autre dépt même région en 2006 (princ)</v>
          </cell>
          <cell r="CB1" t="str">
            <v>Pop 5 ans ou plus habitant 5 ans avt autre région métropole en 2006 (princ)</v>
          </cell>
          <cell r="CC1" t="str">
            <v>Pop 5 ans ou plus habitant 5 ans avt un Dom en 2006 (princ)</v>
          </cell>
          <cell r="CD1" t="str">
            <v>Pop 5 ans ou plus habitant 5 ans avt hors métro ou Dom en 2006 (princ)</v>
          </cell>
          <cell r="CE1" t="str">
            <v>Pop 5-14 ans en 2006 (princ)</v>
          </cell>
          <cell r="CF1" t="str">
            <v>Pop 5-14 ans habitant 5 ans avt autre logt même commune en 2006 (princ)</v>
          </cell>
          <cell r="CG1" t="str">
            <v>Pop 5-14 ans habitant 5 ans avt autre commune en 2006 (princ)</v>
          </cell>
          <cell r="CH1" t="str">
            <v>Pop 15-24 ans en 2006 (princ)</v>
          </cell>
          <cell r="CI1" t="str">
            <v>Pop 15-24 ans habitant 5 ans avt autre logt même commune en 2006 (princ)</v>
          </cell>
          <cell r="CJ1" t="str">
            <v>Pop 15-24 ans habitant 5 ans avt autre commune en 2006 (princ)</v>
          </cell>
          <cell r="CK1" t="str">
            <v>Pop 25-54 ans en 2006 (princ)</v>
          </cell>
          <cell r="CL1" t="str">
            <v>Pop 25-54 ans habitant 5 ans avt autre logt même commune en 2006 (princ)</v>
          </cell>
          <cell r="CM1" t="str">
            <v>Pop 25-54 ans habitant 5 ans avt autre commune en 2006 (princ)</v>
          </cell>
          <cell r="CN1" t="str">
            <v>Pop 55 ans ou plus en 2006 (princ)</v>
          </cell>
          <cell r="CO1" t="str">
            <v>Pop 55 ans ou plus habitant 5 ans avt autre logt même commune en 2006 (princ)</v>
          </cell>
          <cell r="CP1" t="str">
            <v>Pop 55 ans ou plus habitant 5 ans avt autre commune en 2006 (princ)</v>
          </cell>
          <cell r="CQ1" t="str">
            <v>Pop 15 ans ou plus en 2006 (compl)</v>
          </cell>
          <cell r="CR1" t="str">
            <v>Pop 15 ans ou plus Agriculteurs exploitants en 2006 (compl)</v>
          </cell>
          <cell r="CS1" t="str">
            <v>Pop 15 ans ou plus Artisans, Comm., Chefs entr. en 2006 (compl)</v>
          </cell>
          <cell r="CT1" t="str">
            <v>Pop 15 ans ou plus Cadres, Prof. intel. sup. en 2006 (compl)</v>
          </cell>
          <cell r="CU1" t="str">
            <v>Pop 15 ans ou plus Prof. intermédiaires  en 2006 (compl)</v>
          </cell>
          <cell r="CV1" t="str">
            <v>Pop 15 ans ou plus Employés en 2006 (compl)</v>
          </cell>
          <cell r="CW1" t="str">
            <v>Pop 15 ans ou plus Ouvriers en 2006 (compl)</v>
          </cell>
          <cell r="CX1" t="str">
            <v>Pop 15 ans ou plus Retraité  en 2006 (compl)</v>
          </cell>
          <cell r="CY1" t="str">
            <v>Pop 15 ans ou plus Autres en 2006 (compl)</v>
          </cell>
          <cell r="CZ1" t="str">
            <v>Pop 15 ans ou plus en 1999 (compl)</v>
          </cell>
          <cell r="DA1" t="str">
            <v>Pop 15 ans ou plus Agriculteurs exploitants en 1999 (compl)</v>
          </cell>
          <cell r="DB1" t="str">
            <v>Pop 15 ans ou plus Artisans, Comm., Chefs entr. en 1999 (compl)</v>
          </cell>
          <cell r="DC1" t="str">
            <v>Pop 15 ans ou plus Cadres, Prof. intel. sup. en 1999 (compl)</v>
          </cell>
          <cell r="DD1" t="str">
            <v>Pop 15 ans ou plus Prof. intermédiaires en 1999 (compl)</v>
          </cell>
          <cell r="DE1" t="str">
            <v>Pop 15 ans ou plus Employés en 1999 (compl)</v>
          </cell>
          <cell r="DF1" t="str">
            <v>Pop 15 ans ou plus Ouvriers en 1999 (compl)</v>
          </cell>
          <cell r="DG1" t="str">
            <v>Pop 15 ans ou plus Retraités en 1999 (compl)</v>
          </cell>
          <cell r="DH1" t="str">
            <v>Pop 15 ans ou plus Autres en 1999 (compl)</v>
          </cell>
          <cell r="DI1" t="str">
            <v>Pop 15 ans ou plus Hommes en 2006 (compl)</v>
          </cell>
          <cell r="DJ1" t="str">
            <v>Pop 15 ans ou plus Hommes Agriculteurs exploitants en 2006 (compl)</v>
          </cell>
          <cell r="DK1" t="str">
            <v>Pop 15 ans ou plus Hommes Artisans, Comm., Chefs entr. en 2006 (compl)</v>
          </cell>
          <cell r="DL1" t="str">
            <v>Pop 15 ans ou plus Hommes Cadres, Prof. intel. sup. en 2006 (compl)</v>
          </cell>
          <cell r="DM1" t="str">
            <v>Pop 15 ans ou plus Hommes Prof. intermédiaires en 2006 (compl)</v>
          </cell>
          <cell r="DN1" t="str">
            <v>Pop 15 ans ou plus Hommes Employés en 2006 (compl)</v>
          </cell>
          <cell r="DO1" t="str">
            <v>Pop 15 ans ou plus Hommes Ouvriers en 2006 (compl)</v>
          </cell>
          <cell r="DP1" t="str">
            <v>Pop 15 ans ou plus Hommes Retraités en 2006 (compl)</v>
          </cell>
          <cell r="DQ1" t="str">
            <v>Pop 15 ans ou plus Hommes Autres en 2006 (compl)</v>
          </cell>
          <cell r="DR1" t="str">
            <v>Pop 15 ans ou plus Femmes en 2006 (compl)</v>
          </cell>
          <cell r="DS1" t="str">
            <v>Pop 15 ans ou plus Femmes Agriculteurs exploitants en 2006 (compl)</v>
          </cell>
          <cell r="DT1" t="str">
            <v>Pop 15 ans ou plus Femmes Artisans, Comm., Chefs entr. en 2006 (compl)</v>
          </cell>
          <cell r="DU1" t="str">
            <v>Pop 15 ans ou plus Femmes Cadres, Prof. intel. sup. en 2006 (compl)</v>
          </cell>
          <cell r="DV1" t="str">
            <v>Pop 15 ans ou plus Femmes Prof. intermédiaires en 2006 (compl)</v>
          </cell>
          <cell r="DW1" t="str">
            <v>Pop 15 ans ou plus Femmes Employés en 2006 (compl)</v>
          </cell>
          <cell r="DX1" t="str">
            <v>Pop 15 ans ou plus Femmes Ouvriers en 2006 (compl)</v>
          </cell>
          <cell r="DY1" t="str">
            <v>Pop 15 ans ou plus Femmes Retraités en 2006 (compl)</v>
          </cell>
          <cell r="DZ1" t="str">
            <v>Pop 15 ans ou plus Femmes Autres en 2006 (compl)</v>
          </cell>
          <cell r="EA1" t="str">
            <v>Pop 15-24 ans en 2006 (compl)</v>
          </cell>
          <cell r="EB1" t="str">
            <v>Pop 15-24 ans Agriculteurs exploitants en 2006 (compl)</v>
          </cell>
          <cell r="EC1" t="str">
            <v>Pop 15-24 ans Artisans, Comm., Chefs entr. en 2006 (compl)</v>
          </cell>
          <cell r="ED1" t="str">
            <v>Pop 15-24 ans Cadres, Prof. intel. sup. en 2006 (compl)</v>
          </cell>
          <cell r="EE1" t="str">
            <v>Pop 15-24 ans Prof. intermédiaires en 2006 (compl)</v>
          </cell>
          <cell r="EF1" t="str">
            <v>Pop 15-24 ans Employés en 2006 (compl)</v>
          </cell>
          <cell r="EG1" t="str">
            <v>Pop 15-24 ans Ouvriers en 2006 (compl)</v>
          </cell>
          <cell r="EH1" t="str">
            <v>Pop 15-24 ans Retraités en 2006 (compl)</v>
          </cell>
          <cell r="EI1" t="str">
            <v>Pop 15-24 ans Autres en 2006 (compl)</v>
          </cell>
          <cell r="EJ1" t="str">
            <v>Pop 25-54 ans en 2006 (compl)</v>
          </cell>
          <cell r="EK1" t="str">
            <v>Pop 25-54 ans Agriculteurs exploitants en 2006 (compl)</v>
          </cell>
          <cell r="EL1" t="str">
            <v>Pop 25-54 ans Artisans, Comm., Chefs entr. en 2006 (compl)</v>
          </cell>
          <cell r="EM1" t="str">
            <v>Pop 25-54 ans Cadres, Prof. intel. sup. en 2006 (compl)</v>
          </cell>
          <cell r="EN1" t="str">
            <v>Pop 25-54 ans Prof. intermédiaires en 2006 (compl)</v>
          </cell>
          <cell r="EO1" t="str">
            <v>Pop 25-54 ans Employés en 2006 (compl)</v>
          </cell>
          <cell r="EP1" t="str">
            <v>Pop 25-54 ans Ouvriers en 2006 (compl)</v>
          </cell>
          <cell r="EQ1" t="str">
            <v>Pop 25-54 ans Retraités en 2006 (compl)</v>
          </cell>
          <cell r="ER1" t="str">
            <v>Pop 25-54 ans Autres en 2006 (compl)</v>
          </cell>
          <cell r="ES1" t="str">
            <v>Pop 55 ans ou plus en 2006 (compl)</v>
          </cell>
          <cell r="ET1" t="str">
            <v>Pop 55 ans ou plus Agriculteurs exploitants en 2006 (compl)</v>
          </cell>
          <cell r="EU1" t="str">
            <v>Pop 55 ans ou plus Artisans, Comm., Chefs entr. en 2006 (compl)</v>
          </cell>
          <cell r="EV1" t="str">
            <v>Pop 55 ans ou plus Cadres, Prof. intel. sup. en 2006 (compl)</v>
          </cell>
          <cell r="EW1" t="str">
            <v>Pop 55 ans ou plus Prof. intermédiaires en 2006 (compl)</v>
          </cell>
          <cell r="EX1" t="str">
            <v>Pop 55 ans ou plus Employés en 2006 (compl)</v>
          </cell>
          <cell r="EY1" t="str">
            <v>Pop 55 ans ou plus Ouvriers en 2006 (compl)</v>
          </cell>
          <cell r="EZ1" t="str">
            <v>Pop 55 ans ou plus Retraités en 2006 (compl)</v>
          </cell>
          <cell r="FA1" t="str">
            <v>Pop 55 ans ou plus Autres en 2006 (compl)</v>
          </cell>
        </row>
        <row r="2">
          <cell r="A2" t="str">
            <v>37006</v>
          </cell>
          <cell r="B2" t="str">
            <v>Artannes-sur-Indre</v>
          </cell>
          <cell r="C2" t="str">
            <v>CC du Val de l'Indre</v>
          </cell>
          <cell r="D2">
            <v>2519</v>
          </cell>
          <cell r="E2">
            <v>2185</v>
          </cell>
          <cell r="F2">
            <v>2089</v>
          </cell>
          <cell r="G2">
            <v>1402</v>
          </cell>
          <cell r="H2">
            <v>1217</v>
          </cell>
          <cell r="I2">
            <v>1154</v>
          </cell>
          <cell r="J2">
            <v>20.97</v>
          </cell>
          <cell r="K2">
            <v>188</v>
          </cell>
          <cell r="L2">
            <v>212</v>
          </cell>
          <cell r="M2">
            <v>201</v>
          </cell>
          <cell r="N2">
            <v>94</v>
          </cell>
          <cell r="O2">
            <v>113</v>
          </cell>
          <cell r="P2">
            <v>90</v>
          </cell>
          <cell r="Q2">
            <v>128</v>
          </cell>
          <cell r="R2">
            <v>104</v>
          </cell>
          <cell r="S2">
            <v>112</v>
          </cell>
          <cell r="T2">
            <v>101</v>
          </cell>
          <cell r="U2">
            <v>22</v>
          </cell>
          <cell r="V2">
            <v>29</v>
          </cell>
          <cell r="W2">
            <v>35</v>
          </cell>
          <cell r="X2">
            <v>28</v>
          </cell>
          <cell r="Y2">
            <v>17</v>
          </cell>
          <cell r="Z2">
            <v>27</v>
          </cell>
          <cell r="AA2">
            <v>27</v>
          </cell>
          <cell r="AB2">
            <v>22</v>
          </cell>
          <cell r="AC2">
            <v>32</v>
          </cell>
          <cell r="AD2">
            <v>14</v>
          </cell>
          <cell r="AE2">
            <v>13</v>
          </cell>
          <cell r="AF2">
            <v>24</v>
          </cell>
          <cell r="AG2">
            <v>16</v>
          </cell>
          <cell r="AH2">
            <v>15</v>
          </cell>
          <cell r="AI2">
            <v>14</v>
          </cell>
          <cell r="AJ2">
            <v>12</v>
          </cell>
          <cell r="AK2">
            <v>11</v>
          </cell>
          <cell r="AL2">
            <v>13</v>
          </cell>
          <cell r="AM2">
            <v>9</v>
          </cell>
          <cell r="AN2">
            <v>16</v>
          </cell>
          <cell r="AO2">
            <v>530.10999100000004</v>
          </cell>
          <cell r="AP2">
            <v>362.56357800000001</v>
          </cell>
          <cell r="AQ2">
            <v>598.956321</v>
          </cell>
          <cell r="AR2">
            <v>582.08127999999999</v>
          </cell>
          <cell r="AS2">
            <v>277.11195700000002</v>
          </cell>
          <cell r="AT2">
            <v>168.176873</v>
          </cell>
          <cell r="AU2">
            <v>480</v>
          </cell>
          <cell r="AV2">
            <v>354</v>
          </cell>
          <cell r="AW2">
            <v>551</v>
          </cell>
          <cell r="AX2">
            <v>420</v>
          </cell>
          <cell r="AY2">
            <v>256</v>
          </cell>
          <cell r="AZ2">
            <v>124</v>
          </cell>
          <cell r="BA2">
            <v>1240.6579380000001</v>
          </cell>
          <cell r="BB2">
            <v>259.28217100000001</v>
          </cell>
          <cell r="BC2">
            <v>187.51623900000001</v>
          </cell>
          <cell r="BD2">
            <v>288.229829</v>
          </cell>
          <cell r="BE2">
            <v>298.72209700000002</v>
          </cell>
          <cell r="BF2">
            <v>141.50089500000001</v>
          </cell>
          <cell r="BG2">
            <v>61.302061999999999</v>
          </cell>
          <cell r="BH2">
            <v>4.1046449999999997</v>
          </cell>
          <cell r="BI2">
            <v>342.66470500000003</v>
          </cell>
          <cell r="BJ2">
            <v>747.99343299999998</v>
          </cell>
          <cell r="BK2">
            <v>149.99979999999999</v>
          </cell>
          <cell r="BL2">
            <v>1278.3420619999999</v>
          </cell>
          <cell r="BM2">
            <v>270.82781999999997</v>
          </cell>
          <cell r="BN2">
            <v>175.04733899999999</v>
          </cell>
          <cell r="BO2">
            <v>310.72649200000001</v>
          </cell>
          <cell r="BP2">
            <v>283.35918299999997</v>
          </cell>
          <cell r="BQ2">
            <v>135.611062</v>
          </cell>
          <cell r="BR2">
            <v>85.255042000000003</v>
          </cell>
          <cell r="BS2">
            <v>17.515122999999999</v>
          </cell>
          <cell r="BT2">
            <v>354.33914299999998</v>
          </cell>
          <cell r="BU2">
            <v>739.507655</v>
          </cell>
          <cell r="BV2">
            <v>184.49526299999999</v>
          </cell>
          <cell r="BW2">
            <v>2364.8281980000002</v>
          </cell>
          <cell r="BX2">
            <v>1649.271874</v>
          </cell>
          <cell r="BY2">
            <v>113.209316</v>
          </cell>
          <cell r="BZ2">
            <v>469.239959</v>
          </cell>
          <cell r="CA2">
            <v>15.059297000000001</v>
          </cell>
          <cell r="CB2">
            <v>98.162245999999996</v>
          </cell>
          <cell r="CC2">
            <v>5.820862</v>
          </cell>
          <cell r="CD2">
            <v>14.064643999999999</v>
          </cell>
          <cell r="CE2">
            <v>377.89095400000002</v>
          </cell>
          <cell r="CF2">
            <v>30.737666000000001</v>
          </cell>
          <cell r="CG2">
            <v>107.25828</v>
          </cell>
          <cell r="CH2">
            <v>265.91455400000001</v>
          </cell>
          <cell r="CI2">
            <v>14.126593</v>
          </cell>
          <cell r="CJ2">
            <v>50.206823999999997</v>
          </cell>
          <cell r="CK2">
            <v>1100.6918680000001</v>
          </cell>
          <cell r="CL2">
            <v>57.076158999999997</v>
          </cell>
          <cell r="CM2">
            <v>356.01844399999999</v>
          </cell>
          <cell r="CN2">
            <v>622.28358700000001</v>
          </cell>
          <cell r="CO2">
            <v>11.268897000000001</v>
          </cell>
          <cell r="CP2">
            <v>88.863459000000006</v>
          </cell>
          <cell r="CQ2">
            <v>1959.3891369999999</v>
          </cell>
          <cell r="CR2">
            <v>24.071155999999998</v>
          </cell>
          <cell r="CS2">
            <v>112.66012499999999</v>
          </cell>
          <cell r="CT2">
            <v>140.764129</v>
          </cell>
          <cell r="CU2">
            <v>309.830175</v>
          </cell>
          <cell r="CV2">
            <v>333.49626999999998</v>
          </cell>
          <cell r="CW2">
            <v>328.97336100000001</v>
          </cell>
          <cell r="CX2">
            <v>458.09304900000001</v>
          </cell>
          <cell r="CY2">
            <v>251.50087199999999</v>
          </cell>
          <cell r="CZ2">
            <v>1660</v>
          </cell>
          <cell r="DA2">
            <v>12</v>
          </cell>
          <cell r="DB2">
            <v>92</v>
          </cell>
          <cell r="DC2">
            <v>104</v>
          </cell>
          <cell r="DD2">
            <v>220</v>
          </cell>
          <cell r="DE2">
            <v>324</v>
          </cell>
          <cell r="DF2">
            <v>296</v>
          </cell>
          <cell r="DG2">
            <v>352</v>
          </cell>
          <cell r="DH2">
            <v>260</v>
          </cell>
          <cell r="DI2">
            <v>929.56608200000005</v>
          </cell>
          <cell r="DJ2">
            <v>16.014154000000001</v>
          </cell>
          <cell r="DK2">
            <v>72.171021999999994</v>
          </cell>
          <cell r="DL2">
            <v>80.278576000000001</v>
          </cell>
          <cell r="DM2">
            <v>148.671967</v>
          </cell>
          <cell r="DN2">
            <v>76.249464000000003</v>
          </cell>
          <cell r="DO2">
            <v>260.72915699999999</v>
          </cell>
          <cell r="DP2">
            <v>195.90256500000001</v>
          </cell>
          <cell r="DQ2">
            <v>79.549177</v>
          </cell>
          <cell r="DR2">
            <v>1029.823056</v>
          </cell>
          <cell r="DS2">
            <v>8.0570020000000007</v>
          </cell>
          <cell r="DT2">
            <v>40.489103</v>
          </cell>
          <cell r="DU2">
            <v>60.485553000000003</v>
          </cell>
          <cell r="DV2">
            <v>161.158208</v>
          </cell>
          <cell r="DW2">
            <v>257.24680599999999</v>
          </cell>
          <cell r="DX2">
            <v>68.244204999999994</v>
          </cell>
          <cell r="DY2">
            <v>262.19048400000003</v>
          </cell>
          <cell r="DZ2">
            <v>171.951695</v>
          </cell>
          <cell r="EA2">
            <v>247.320685</v>
          </cell>
          <cell r="EB2">
            <v>0</v>
          </cell>
          <cell r="EC2">
            <v>0</v>
          </cell>
          <cell r="ED2">
            <v>0</v>
          </cell>
          <cell r="EE2">
            <v>8.1581050000000008</v>
          </cell>
          <cell r="EF2">
            <v>24.222809999999999</v>
          </cell>
          <cell r="EG2">
            <v>47.998120999999998</v>
          </cell>
          <cell r="EH2">
            <v>0</v>
          </cell>
          <cell r="EI2">
            <v>166.94164900000001</v>
          </cell>
          <cell r="EJ2">
            <v>1095.0402389999999</v>
          </cell>
          <cell r="EK2">
            <v>20.042655</v>
          </cell>
          <cell r="EL2">
            <v>84.004386999999994</v>
          </cell>
          <cell r="EM2">
            <v>99.972970000000004</v>
          </cell>
          <cell r="EN2">
            <v>269.03965099999999</v>
          </cell>
          <cell r="EO2">
            <v>292.95724999999999</v>
          </cell>
          <cell r="EP2">
            <v>272.96691800000002</v>
          </cell>
          <cell r="EQ2">
            <v>4.1302380000000003</v>
          </cell>
          <cell r="ER2">
            <v>51.926169000000002</v>
          </cell>
          <cell r="ES2">
            <v>617.02821300000005</v>
          </cell>
          <cell r="ET2">
            <v>4.0285010000000003</v>
          </cell>
          <cell r="EU2">
            <v>28.655737999999999</v>
          </cell>
          <cell r="EV2">
            <v>40.791158000000003</v>
          </cell>
          <cell r="EW2">
            <v>32.632418999999999</v>
          </cell>
          <cell r="EX2">
            <v>16.316210000000002</v>
          </cell>
          <cell r="EY2">
            <v>8.0083219999999997</v>
          </cell>
          <cell r="EZ2">
            <v>453.96281099999999</v>
          </cell>
          <cell r="FA2">
            <v>32.633054000000001</v>
          </cell>
        </row>
        <row r="3">
          <cell r="A3" t="str">
            <v>37015</v>
          </cell>
          <cell r="B3" t="str">
            <v>Azay-sur-Cher</v>
          </cell>
          <cell r="C3" t="str">
            <v>CC de l'Est Tourangeau</v>
          </cell>
          <cell r="D3">
            <v>2878</v>
          </cell>
          <cell r="E3">
            <v>2707</v>
          </cell>
          <cell r="F3">
            <v>2408</v>
          </cell>
          <cell r="G3">
            <v>1830</v>
          </cell>
          <cell r="H3">
            <v>1375</v>
          </cell>
          <cell r="I3">
            <v>1194</v>
          </cell>
          <cell r="J3">
            <v>22.85</v>
          </cell>
          <cell r="K3">
            <v>255</v>
          </cell>
          <cell r="L3">
            <v>266</v>
          </cell>
          <cell r="M3">
            <v>233</v>
          </cell>
          <cell r="N3">
            <v>157</v>
          </cell>
          <cell r="O3">
            <v>133</v>
          </cell>
          <cell r="P3">
            <v>97</v>
          </cell>
          <cell r="Q3">
            <v>133</v>
          </cell>
          <cell r="R3">
            <v>124</v>
          </cell>
          <cell r="S3">
            <v>107</v>
          </cell>
          <cell r="T3">
            <v>105</v>
          </cell>
          <cell r="U3">
            <v>27</v>
          </cell>
          <cell r="V3">
            <v>29</v>
          </cell>
          <cell r="W3">
            <v>39</v>
          </cell>
          <cell r="X3">
            <v>34</v>
          </cell>
          <cell r="Y3">
            <v>39</v>
          </cell>
          <cell r="Z3">
            <v>32</v>
          </cell>
          <cell r="AA3">
            <v>37</v>
          </cell>
          <cell r="AB3">
            <v>38</v>
          </cell>
          <cell r="AC3">
            <v>36</v>
          </cell>
          <cell r="AD3">
            <v>37</v>
          </cell>
          <cell r="AE3">
            <v>16</v>
          </cell>
          <cell r="AF3">
            <v>13</v>
          </cell>
          <cell r="AG3">
            <v>16</v>
          </cell>
          <cell r="AH3">
            <v>11</v>
          </cell>
          <cell r="AI3">
            <v>22</v>
          </cell>
          <cell r="AJ3">
            <v>11</v>
          </cell>
          <cell r="AK3">
            <v>16</v>
          </cell>
          <cell r="AL3">
            <v>12</v>
          </cell>
          <cell r="AM3">
            <v>9</v>
          </cell>
          <cell r="AN3">
            <v>12</v>
          </cell>
          <cell r="AO3">
            <v>596.18252199999995</v>
          </cell>
          <cell r="AP3">
            <v>415.37050900000003</v>
          </cell>
          <cell r="AQ3">
            <v>711.11890900000003</v>
          </cell>
          <cell r="AR3">
            <v>733.573621</v>
          </cell>
          <cell r="AS3">
            <v>271.03169500000001</v>
          </cell>
          <cell r="AT3">
            <v>150.72274400000001</v>
          </cell>
          <cell r="AU3">
            <v>629</v>
          </cell>
          <cell r="AV3">
            <v>429</v>
          </cell>
          <cell r="AW3">
            <v>736</v>
          </cell>
          <cell r="AX3">
            <v>543</v>
          </cell>
          <cell r="AY3">
            <v>248</v>
          </cell>
          <cell r="AZ3">
            <v>122</v>
          </cell>
          <cell r="BA3">
            <v>1470.8171010000001</v>
          </cell>
          <cell r="BB3">
            <v>309.75718000000001</v>
          </cell>
          <cell r="BC3">
            <v>223.22027399999999</v>
          </cell>
          <cell r="BD3">
            <v>342.94316700000002</v>
          </cell>
          <cell r="BE3">
            <v>392.04497800000001</v>
          </cell>
          <cell r="BF3">
            <v>134.56856099999999</v>
          </cell>
          <cell r="BG3">
            <v>67.230562000000006</v>
          </cell>
          <cell r="BH3">
            <v>1.052378</v>
          </cell>
          <cell r="BI3">
            <v>417.16820999999999</v>
          </cell>
          <cell r="BJ3">
            <v>904.32288200000005</v>
          </cell>
          <cell r="BK3">
            <v>149.326008</v>
          </cell>
          <cell r="BL3">
            <v>1407.1828989999999</v>
          </cell>
          <cell r="BM3">
            <v>286.425343</v>
          </cell>
          <cell r="BN3">
            <v>192.15023500000001</v>
          </cell>
          <cell r="BO3">
            <v>368.17574200000001</v>
          </cell>
          <cell r="BP3">
            <v>341.52864299999999</v>
          </cell>
          <cell r="BQ3">
            <v>136.463133</v>
          </cell>
          <cell r="BR3">
            <v>80.427833000000007</v>
          </cell>
          <cell r="BS3">
            <v>2.011971</v>
          </cell>
          <cell r="BT3">
            <v>369.70032800000001</v>
          </cell>
          <cell r="BU3">
            <v>871.33406300000001</v>
          </cell>
          <cell r="BV3">
            <v>166.14850899999999</v>
          </cell>
          <cell r="BW3">
            <v>2681.784478</v>
          </cell>
          <cell r="BX3">
            <v>1876.4205850000001</v>
          </cell>
          <cell r="BY3">
            <v>129.18047799999999</v>
          </cell>
          <cell r="BZ3">
            <v>492.16989899999999</v>
          </cell>
          <cell r="CA3">
            <v>35.559575000000002</v>
          </cell>
          <cell r="CB3">
            <v>134.09740500000001</v>
          </cell>
          <cell r="CC3">
            <v>0</v>
          </cell>
          <cell r="CD3">
            <v>14.356536</v>
          </cell>
          <cell r="CE3">
            <v>401.91616800000003</v>
          </cell>
          <cell r="CF3">
            <v>29.572030000000002</v>
          </cell>
          <cell r="CG3">
            <v>113.502219</v>
          </cell>
          <cell r="CH3">
            <v>294.68108699999999</v>
          </cell>
          <cell r="CI3">
            <v>17.331994999999999</v>
          </cell>
          <cell r="CJ3">
            <v>57.566735000000001</v>
          </cell>
          <cell r="CK3">
            <v>1371.3891590000001</v>
          </cell>
          <cell r="CL3">
            <v>67.601974999999996</v>
          </cell>
          <cell r="CM3">
            <v>445.88845800000001</v>
          </cell>
          <cell r="CN3">
            <v>615.74723200000005</v>
          </cell>
          <cell r="CO3">
            <v>14.674479</v>
          </cell>
          <cell r="CP3">
            <v>59.226004000000003</v>
          </cell>
          <cell r="CQ3">
            <v>2261.2384699999998</v>
          </cell>
          <cell r="CR3">
            <v>19.802855000000001</v>
          </cell>
          <cell r="CS3">
            <v>97.282383999999993</v>
          </cell>
          <cell r="CT3">
            <v>173.660403</v>
          </cell>
          <cell r="CU3">
            <v>472.67724800000002</v>
          </cell>
          <cell r="CV3">
            <v>415.05048799999997</v>
          </cell>
          <cell r="CW3">
            <v>390.880019</v>
          </cell>
          <cell r="CX3">
            <v>382.90520900000001</v>
          </cell>
          <cell r="CY3">
            <v>308.97986300000002</v>
          </cell>
          <cell r="CZ3">
            <v>2024</v>
          </cell>
          <cell r="DA3">
            <v>8</v>
          </cell>
          <cell r="DB3">
            <v>84</v>
          </cell>
          <cell r="DC3">
            <v>168</v>
          </cell>
          <cell r="DD3">
            <v>376</v>
          </cell>
          <cell r="DE3">
            <v>380</v>
          </cell>
          <cell r="DF3">
            <v>316</v>
          </cell>
          <cell r="DG3">
            <v>368</v>
          </cell>
          <cell r="DH3">
            <v>324</v>
          </cell>
          <cell r="DI3">
            <v>1166.9017260000001</v>
          </cell>
          <cell r="DJ3">
            <v>15.593341000000001</v>
          </cell>
          <cell r="DK3">
            <v>93.324084999999997</v>
          </cell>
          <cell r="DL3">
            <v>125.121634</v>
          </cell>
          <cell r="DM3">
            <v>253.36078900000001</v>
          </cell>
          <cell r="DN3">
            <v>24.499573999999999</v>
          </cell>
          <cell r="DO3">
            <v>326.66628200000002</v>
          </cell>
          <cell r="DP3">
            <v>197.10544899999999</v>
          </cell>
          <cell r="DQ3">
            <v>131.23057</v>
          </cell>
          <cell r="DR3">
            <v>1094.336744</v>
          </cell>
          <cell r="DS3">
            <v>4.2095140000000004</v>
          </cell>
          <cell r="DT3">
            <v>3.9582989999999998</v>
          </cell>
          <cell r="DU3">
            <v>48.538767999999997</v>
          </cell>
          <cell r="DV3">
            <v>219.31645900000001</v>
          </cell>
          <cell r="DW3">
            <v>390.55091399999998</v>
          </cell>
          <cell r="DX3">
            <v>64.213735999999997</v>
          </cell>
          <cell r="DY3">
            <v>185.79976099999999</v>
          </cell>
          <cell r="DZ3">
            <v>177.74929299999999</v>
          </cell>
          <cell r="EA3">
            <v>306.70767899999998</v>
          </cell>
          <cell r="EB3">
            <v>0</v>
          </cell>
          <cell r="EC3">
            <v>0</v>
          </cell>
          <cell r="ED3">
            <v>0</v>
          </cell>
          <cell r="EE3">
            <v>20.927997999999999</v>
          </cell>
          <cell r="EF3">
            <v>28.472866</v>
          </cell>
          <cell r="EG3">
            <v>72.010289999999998</v>
          </cell>
          <cell r="EH3">
            <v>0</v>
          </cell>
          <cell r="EI3">
            <v>185.296526</v>
          </cell>
          <cell r="EJ3">
            <v>1361.3732230000001</v>
          </cell>
          <cell r="EK3">
            <v>19.802855000000001</v>
          </cell>
          <cell r="EL3">
            <v>84.905057999999997</v>
          </cell>
          <cell r="EM3">
            <v>144.576426</v>
          </cell>
          <cell r="EN3">
            <v>409.76981999999998</v>
          </cell>
          <cell r="EO3">
            <v>353.02120400000001</v>
          </cell>
          <cell r="EP3">
            <v>272.55711000000002</v>
          </cell>
          <cell r="EQ3">
            <v>16.084410999999999</v>
          </cell>
          <cell r="ER3">
            <v>60.65634</v>
          </cell>
          <cell r="ES3">
            <v>593.15756699999997</v>
          </cell>
          <cell r="ET3">
            <v>0</v>
          </cell>
          <cell r="EU3">
            <v>12.377326</v>
          </cell>
          <cell r="EV3">
            <v>29.083977000000001</v>
          </cell>
          <cell r="EW3">
            <v>41.979430000000001</v>
          </cell>
          <cell r="EX3">
            <v>33.556418000000001</v>
          </cell>
          <cell r="EY3">
            <v>46.312618999999998</v>
          </cell>
          <cell r="EZ3">
            <v>366.82079800000002</v>
          </cell>
          <cell r="FA3">
            <v>63.026997999999999</v>
          </cell>
        </row>
        <row r="4">
          <cell r="A4" t="str">
            <v>37018</v>
          </cell>
          <cell r="B4" t="str">
            <v>Ballan-Miré</v>
          </cell>
          <cell r="C4" t="str">
            <v>Tour(s)plus</v>
          </cell>
          <cell r="D4">
            <v>7541.0240379999996</v>
          </cell>
          <cell r="E4">
            <v>7054</v>
          </cell>
          <cell r="F4">
            <v>5937</v>
          </cell>
          <cell r="G4">
            <v>4491</v>
          </cell>
          <cell r="H4">
            <v>3739</v>
          </cell>
          <cell r="I4">
            <v>2618</v>
          </cell>
          <cell r="J4">
            <v>26.16</v>
          </cell>
          <cell r="K4">
            <v>483</v>
          </cell>
          <cell r="L4">
            <v>647</v>
          </cell>
          <cell r="M4">
            <v>543</v>
          </cell>
          <cell r="N4">
            <v>291</v>
          </cell>
          <cell r="O4">
            <v>437</v>
          </cell>
          <cell r="P4">
            <v>373</v>
          </cell>
          <cell r="Q4">
            <v>351</v>
          </cell>
          <cell r="R4">
            <v>243</v>
          </cell>
          <cell r="S4">
            <v>182</v>
          </cell>
          <cell r="T4">
            <v>155</v>
          </cell>
          <cell r="U4">
            <v>81</v>
          </cell>
          <cell r="V4">
            <v>68</v>
          </cell>
          <cell r="W4">
            <v>66</v>
          </cell>
          <cell r="X4">
            <v>61</v>
          </cell>
          <cell r="Y4">
            <v>59</v>
          </cell>
          <cell r="Z4">
            <v>77</v>
          </cell>
          <cell r="AA4">
            <v>83</v>
          </cell>
          <cell r="AB4">
            <v>67</v>
          </cell>
          <cell r="AC4">
            <v>70</v>
          </cell>
          <cell r="AD4">
            <v>65</v>
          </cell>
          <cell r="AE4">
            <v>57</v>
          </cell>
          <cell r="AF4">
            <v>46</v>
          </cell>
          <cell r="AG4">
            <v>60</v>
          </cell>
          <cell r="AH4">
            <v>46</v>
          </cell>
          <cell r="AI4">
            <v>63</v>
          </cell>
          <cell r="AJ4">
            <v>55</v>
          </cell>
          <cell r="AK4">
            <v>46</v>
          </cell>
          <cell r="AL4">
            <v>43</v>
          </cell>
          <cell r="AM4">
            <v>60</v>
          </cell>
          <cell r="AN4">
            <v>54</v>
          </cell>
          <cell r="AO4">
            <v>1368.0552399999999</v>
          </cell>
          <cell r="AP4">
            <v>1228.475901</v>
          </cell>
          <cell r="AQ4">
            <v>1472.3480870000001</v>
          </cell>
          <cell r="AR4">
            <v>1812.0509039999999</v>
          </cell>
          <cell r="AS4">
            <v>1136.913622</v>
          </cell>
          <cell r="AT4">
            <v>523.18028500000003</v>
          </cell>
          <cell r="AU4">
            <v>1534</v>
          </cell>
          <cell r="AV4">
            <v>1216</v>
          </cell>
          <cell r="AW4">
            <v>1662</v>
          </cell>
          <cell r="AX4">
            <v>1439</v>
          </cell>
          <cell r="AY4">
            <v>809</v>
          </cell>
          <cell r="AZ4">
            <v>394</v>
          </cell>
          <cell r="BA4">
            <v>3627.6748229999998</v>
          </cell>
          <cell r="BB4">
            <v>669.00611700000002</v>
          </cell>
          <cell r="BC4">
            <v>624.98279500000001</v>
          </cell>
          <cell r="BD4">
            <v>681.40893000000005</v>
          </cell>
          <cell r="BE4">
            <v>889.81118300000003</v>
          </cell>
          <cell r="BF4">
            <v>561.29540499999996</v>
          </cell>
          <cell r="BG4">
            <v>184.40632600000001</v>
          </cell>
          <cell r="BH4">
            <v>16.764066</v>
          </cell>
          <cell r="BI4">
            <v>941.35183700000005</v>
          </cell>
          <cell r="BJ4">
            <v>2140.6323510000002</v>
          </cell>
          <cell r="BK4">
            <v>545.69063500000004</v>
          </cell>
          <cell r="BL4">
            <v>3913.3492160000001</v>
          </cell>
          <cell r="BM4">
            <v>699.04912300000001</v>
          </cell>
          <cell r="BN4">
            <v>603.49310600000001</v>
          </cell>
          <cell r="BO4">
            <v>790.93915700000002</v>
          </cell>
          <cell r="BP4">
            <v>922.23972100000003</v>
          </cell>
          <cell r="BQ4">
            <v>575.61821599999996</v>
          </cell>
          <cell r="BR4">
            <v>256.296244</v>
          </cell>
          <cell r="BS4">
            <v>65.713649000000004</v>
          </cell>
          <cell r="BT4">
            <v>978.94145600000002</v>
          </cell>
          <cell r="BU4">
            <v>2268.7952479999999</v>
          </cell>
          <cell r="BV4">
            <v>665.61251200000004</v>
          </cell>
          <cell r="BW4">
            <v>7154.8648700000003</v>
          </cell>
          <cell r="BX4">
            <v>4784.394166</v>
          </cell>
          <cell r="BY4">
            <v>479.14478600000001</v>
          </cell>
          <cell r="BZ4">
            <v>1164.729664</v>
          </cell>
          <cell r="CA4">
            <v>112.612461</v>
          </cell>
          <cell r="CB4">
            <v>571.30525599999999</v>
          </cell>
          <cell r="CC4">
            <v>5.9551449999999999</v>
          </cell>
          <cell r="CD4">
            <v>36.723393000000002</v>
          </cell>
          <cell r="CE4">
            <v>984.87364400000001</v>
          </cell>
          <cell r="CF4">
            <v>104.297268</v>
          </cell>
          <cell r="CG4">
            <v>317.60772100000003</v>
          </cell>
          <cell r="CH4">
            <v>918.79342099999997</v>
          </cell>
          <cell r="CI4">
            <v>83.416882000000001</v>
          </cell>
          <cell r="CJ4">
            <v>209.42259100000001</v>
          </cell>
          <cell r="CK4">
            <v>3045.9859660000002</v>
          </cell>
          <cell r="CL4">
            <v>222.267687</v>
          </cell>
          <cell r="CM4">
            <v>1056.7379539999999</v>
          </cell>
          <cell r="CN4">
            <v>2208.1894109999998</v>
          </cell>
          <cell r="CO4">
            <v>69.162948999999998</v>
          </cell>
          <cell r="CP4">
            <v>307.55765300000002</v>
          </cell>
          <cell r="CQ4">
            <v>6153.1648569999998</v>
          </cell>
          <cell r="CR4">
            <v>7.9401929999999998</v>
          </cell>
          <cell r="CS4">
            <v>182.624439</v>
          </cell>
          <cell r="CT4">
            <v>665.565924</v>
          </cell>
          <cell r="CU4">
            <v>1032.2250919999999</v>
          </cell>
          <cell r="CV4">
            <v>1003.494223</v>
          </cell>
          <cell r="CW4">
            <v>693.82669599999997</v>
          </cell>
          <cell r="CX4">
            <v>1634.0781400000001</v>
          </cell>
          <cell r="CY4">
            <v>933.41015000000004</v>
          </cell>
          <cell r="CZ4">
            <v>5472</v>
          </cell>
          <cell r="DA4">
            <v>12</v>
          </cell>
          <cell r="DB4">
            <v>208</v>
          </cell>
          <cell r="DC4">
            <v>432</v>
          </cell>
          <cell r="DD4">
            <v>920</v>
          </cell>
          <cell r="DE4">
            <v>1012</v>
          </cell>
          <cell r="DF4">
            <v>664</v>
          </cell>
          <cell r="DG4">
            <v>1172</v>
          </cell>
          <cell r="DH4">
            <v>1052</v>
          </cell>
          <cell r="DI4">
            <v>2958.6945139999998</v>
          </cell>
          <cell r="DJ4">
            <v>7.9401929999999998</v>
          </cell>
          <cell r="DK4">
            <v>134.98328100000001</v>
          </cell>
          <cell r="DL4">
            <v>455.15080899999998</v>
          </cell>
          <cell r="DM4">
            <v>488.32186999999999</v>
          </cell>
          <cell r="DN4">
            <v>181.684246</v>
          </cell>
          <cell r="DO4">
            <v>546.93312500000002</v>
          </cell>
          <cell r="DP4">
            <v>805.862979</v>
          </cell>
          <cell r="DQ4">
            <v>337.81801000000002</v>
          </cell>
          <cell r="DR4">
            <v>3194.470343</v>
          </cell>
          <cell r="DS4">
            <v>0</v>
          </cell>
          <cell r="DT4">
            <v>47.641157999999997</v>
          </cell>
          <cell r="DU4">
            <v>210.41511499999999</v>
          </cell>
          <cell r="DV4">
            <v>543.90322100000003</v>
          </cell>
          <cell r="DW4">
            <v>821.809977</v>
          </cell>
          <cell r="DX4">
            <v>146.89357100000001</v>
          </cell>
          <cell r="DY4">
            <v>828.21516099999997</v>
          </cell>
          <cell r="DZ4">
            <v>595.59213999999997</v>
          </cell>
          <cell r="EA4">
            <v>937.77267900000004</v>
          </cell>
          <cell r="EB4">
            <v>0</v>
          </cell>
          <cell r="EC4">
            <v>0</v>
          </cell>
          <cell r="ED4">
            <v>11.91029</v>
          </cell>
          <cell r="EE4">
            <v>43.671061999999999</v>
          </cell>
          <cell r="EF4">
            <v>134.98328100000001</v>
          </cell>
          <cell r="EG4">
            <v>131.01318499999999</v>
          </cell>
          <cell r="EH4">
            <v>0</v>
          </cell>
          <cell r="EI4">
            <v>616.19486199999994</v>
          </cell>
          <cell r="EJ4">
            <v>3019.3630560000001</v>
          </cell>
          <cell r="EK4">
            <v>3.970097</v>
          </cell>
          <cell r="EL4">
            <v>142.923474</v>
          </cell>
          <cell r="EM4">
            <v>575.19389699999999</v>
          </cell>
          <cell r="EN4">
            <v>873.42123100000003</v>
          </cell>
          <cell r="EO4">
            <v>761.78843300000005</v>
          </cell>
          <cell r="EP4">
            <v>499.291967</v>
          </cell>
          <cell r="EQ4">
            <v>23.820578999999999</v>
          </cell>
          <cell r="ER4">
            <v>138.95337799999999</v>
          </cell>
          <cell r="ES4">
            <v>2196.0291219999999</v>
          </cell>
          <cell r="ET4">
            <v>3.970097</v>
          </cell>
          <cell r="EU4">
            <v>39.700964999999997</v>
          </cell>
          <cell r="EV4">
            <v>78.461736999999999</v>
          </cell>
          <cell r="EW4">
            <v>115.13279900000001</v>
          </cell>
          <cell r="EX4">
            <v>106.722509</v>
          </cell>
          <cell r="EY4">
            <v>63.521543999999999</v>
          </cell>
          <cell r="EZ4">
            <v>1610.2575609999999</v>
          </cell>
          <cell r="FA4">
            <v>178.26191</v>
          </cell>
        </row>
        <row r="5">
          <cell r="A5" t="str">
            <v>37025</v>
          </cell>
          <cell r="B5" t="str">
            <v>Berthenay</v>
          </cell>
          <cell r="C5" t="str">
            <v>Tour(s)plus</v>
          </cell>
          <cell r="D5">
            <v>699</v>
          </cell>
          <cell r="E5">
            <v>675</v>
          </cell>
          <cell r="F5">
            <v>570</v>
          </cell>
          <cell r="G5">
            <v>342</v>
          </cell>
          <cell r="H5">
            <v>317</v>
          </cell>
          <cell r="I5">
            <v>340</v>
          </cell>
          <cell r="J5">
            <v>7.24</v>
          </cell>
          <cell r="K5">
            <v>48</v>
          </cell>
          <cell r="L5">
            <v>102</v>
          </cell>
          <cell r="M5">
            <v>76</v>
          </cell>
          <cell r="N5">
            <v>25</v>
          </cell>
          <cell r="O5">
            <v>35</v>
          </cell>
          <cell r="P5">
            <v>18</v>
          </cell>
          <cell r="Q5">
            <v>26</v>
          </cell>
          <cell r="R5">
            <v>27</v>
          </cell>
          <cell r="S5">
            <v>29</v>
          </cell>
          <cell r="T5">
            <v>21</v>
          </cell>
          <cell r="U5">
            <v>4</v>
          </cell>
          <cell r="V5">
            <v>12</v>
          </cell>
          <cell r="W5">
            <v>6</v>
          </cell>
          <cell r="X5">
            <v>7</v>
          </cell>
          <cell r="Y5">
            <v>8</v>
          </cell>
          <cell r="Z5">
            <v>7</v>
          </cell>
          <cell r="AA5">
            <v>4</v>
          </cell>
          <cell r="AB5">
            <v>11</v>
          </cell>
          <cell r="AC5">
            <v>5</v>
          </cell>
          <cell r="AD5">
            <v>8</v>
          </cell>
          <cell r="AE5">
            <v>3</v>
          </cell>
          <cell r="AF5">
            <v>1</v>
          </cell>
          <cell r="AG5">
            <v>4</v>
          </cell>
          <cell r="AH5">
            <v>1</v>
          </cell>
          <cell r="AI5">
            <v>0</v>
          </cell>
          <cell r="AJ5">
            <v>4</v>
          </cell>
          <cell r="AK5">
            <v>2</v>
          </cell>
          <cell r="AL5">
            <v>2</v>
          </cell>
          <cell r="AM5">
            <v>5</v>
          </cell>
          <cell r="AN5">
            <v>1</v>
          </cell>
          <cell r="AO5">
            <v>156.106686</v>
          </cell>
          <cell r="AP5">
            <v>118.322902</v>
          </cell>
          <cell r="AQ5">
            <v>166.04978700000001</v>
          </cell>
          <cell r="AR5">
            <v>165.055477</v>
          </cell>
          <cell r="AS5">
            <v>52.698435000000003</v>
          </cell>
          <cell r="AT5">
            <v>40.766714</v>
          </cell>
          <cell r="AU5">
            <v>182</v>
          </cell>
          <cell r="AV5">
            <v>109</v>
          </cell>
          <cell r="AW5">
            <v>195</v>
          </cell>
          <cell r="AX5">
            <v>101</v>
          </cell>
          <cell r="AY5">
            <v>58</v>
          </cell>
          <cell r="AZ5">
            <v>30</v>
          </cell>
          <cell r="BA5">
            <v>349.99715500000002</v>
          </cell>
          <cell r="BB5">
            <v>77.556188000000006</v>
          </cell>
          <cell r="BC5">
            <v>55.681365999999997</v>
          </cell>
          <cell r="BD5">
            <v>83.522047999999998</v>
          </cell>
          <cell r="BE5">
            <v>85.510668999999993</v>
          </cell>
          <cell r="BF5">
            <v>29.829302999999999</v>
          </cell>
          <cell r="BG5">
            <v>16.903272000000001</v>
          </cell>
          <cell r="BH5">
            <v>0.99431000000000003</v>
          </cell>
          <cell r="BI5">
            <v>108.379801</v>
          </cell>
          <cell r="BJ5">
            <v>204.82788099999999</v>
          </cell>
          <cell r="BK5">
            <v>36.789473999999998</v>
          </cell>
          <cell r="BL5">
            <v>349.00284499999998</v>
          </cell>
          <cell r="BM5">
            <v>78.550498000000005</v>
          </cell>
          <cell r="BN5">
            <v>62.641536000000002</v>
          </cell>
          <cell r="BO5">
            <v>82.527737999999999</v>
          </cell>
          <cell r="BP5">
            <v>79.544808000000003</v>
          </cell>
          <cell r="BQ5">
            <v>22.869132</v>
          </cell>
          <cell r="BR5">
            <v>18.891891999999999</v>
          </cell>
          <cell r="BS5">
            <v>3.9772400000000001</v>
          </cell>
          <cell r="BT5">
            <v>106.391181</v>
          </cell>
          <cell r="BU5">
            <v>204.82788099999999</v>
          </cell>
          <cell r="BV5">
            <v>37.783783999999997</v>
          </cell>
          <cell r="BW5">
            <v>648.29018499999995</v>
          </cell>
          <cell r="BX5">
            <v>471.30298699999997</v>
          </cell>
          <cell r="BY5">
            <v>27.840682999999999</v>
          </cell>
          <cell r="BZ5">
            <v>114.34566100000001</v>
          </cell>
          <cell r="CA5">
            <v>3.9772400000000001</v>
          </cell>
          <cell r="CB5">
            <v>28.834993000000001</v>
          </cell>
          <cell r="CC5">
            <v>0</v>
          </cell>
          <cell r="CD5">
            <v>1.9886200000000001</v>
          </cell>
          <cell r="CE5">
            <v>106.391181</v>
          </cell>
          <cell r="CF5">
            <v>2.9829300000000001</v>
          </cell>
          <cell r="CG5">
            <v>27.840682999999999</v>
          </cell>
          <cell r="CH5">
            <v>89.487909000000002</v>
          </cell>
          <cell r="CI5">
            <v>7.9544810000000004</v>
          </cell>
          <cell r="CJ5">
            <v>10.937411000000001</v>
          </cell>
          <cell r="CK5">
            <v>318.17923200000001</v>
          </cell>
          <cell r="CL5">
            <v>12.926031</v>
          </cell>
          <cell r="CM5">
            <v>90.482219000000001</v>
          </cell>
          <cell r="CN5">
            <v>135.22617399999999</v>
          </cell>
          <cell r="CO5">
            <v>3.9772400000000001</v>
          </cell>
          <cell r="CP5">
            <v>19.886202000000001</v>
          </cell>
          <cell r="CQ5">
            <v>552.83641499999999</v>
          </cell>
          <cell r="CR5">
            <v>11.931721</v>
          </cell>
          <cell r="CS5">
            <v>39.772404000000002</v>
          </cell>
          <cell r="CT5">
            <v>43.749644000000004</v>
          </cell>
          <cell r="CU5">
            <v>67.613086999999993</v>
          </cell>
          <cell r="CV5">
            <v>75.567567999999994</v>
          </cell>
          <cell r="CW5">
            <v>103.40825</v>
          </cell>
          <cell r="CX5">
            <v>115.339972</v>
          </cell>
          <cell r="CY5">
            <v>95.453770000000006</v>
          </cell>
          <cell r="CZ5">
            <v>472</v>
          </cell>
          <cell r="DA5">
            <v>12</v>
          </cell>
          <cell r="DB5">
            <v>28</v>
          </cell>
          <cell r="DC5">
            <v>40</v>
          </cell>
          <cell r="DD5">
            <v>76</v>
          </cell>
          <cell r="DE5">
            <v>112</v>
          </cell>
          <cell r="DF5">
            <v>64</v>
          </cell>
          <cell r="DG5">
            <v>84</v>
          </cell>
          <cell r="DH5">
            <v>56</v>
          </cell>
          <cell r="DI5">
            <v>270.45234699999997</v>
          </cell>
          <cell r="DJ5">
            <v>7.9544810000000004</v>
          </cell>
          <cell r="DK5">
            <v>27.840682999999999</v>
          </cell>
          <cell r="DL5">
            <v>35.795164</v>
          </cell>
          <cell r="DM5">
            <v>35.795164</v>
          </cell>
          <cell r="DN5">
            <v>0</v>
          </cell>
          <cell r="DO5">
            <v>59.658605999999999</v>
          </cell>
          <cell r="DP5">
            <v>67.613086999999993</v>
          </cell>
          <cell r="DQ5">
            <v>35.795164</v>
          </cell>
          <cell r="DR5">
            <v>282.38406800000001</v>
          </cell>
          <cell r="DS5">
            <v>3.9772400000000001</v>
          </cell>
          <cell r="DT5">
            <v>11.931721</v>
          </cell>
          <cell r="DU5">
            <v>7.9544810000000004</v>
          </cell>
          <cell r="DV5">
            <v>31.817923</v>
          </cell>
          <cell r="DW5">
            <v>75.567567999999994</v>
          </cell>
          <cell r="DX5">
            <v>43.749644000000004</v>
          </cell>
          <cell r="DY5">
            <v>47.726885000000003</v>
          </cell>
          <cell r="DZ5">
            <v>59.658605999999999</v>
          </cell>
          <cell r="EA5">
            <v>99.431010000000001</v>
          </cell>
          <cell r="EB5">
            <v>0</v>
          </cell>
          <cell r="EC5">
            <v>0</v>
          </cell>
          <cell r="ED5">
            <v>0</v>
          </cell>
          <cell r="EE5">
            <v>0</v>
          </cell>
          <cell r="EF5">
            <v>11.931721</v>
          </cell>
          <cell r="EG5">
            <v>11.931721</v>
          </cell>
          <cell r="EH5">
            <v>0</v>
          </cell>
          <cell r="EI5">
            <v>75.567567999999994</v>
          </cell>
          <cell r="EJ5">
            <v>306.24751099999997</v>
          </cell>
          <cell r="EK5">
            <v>11.931721</v>
          </cell>
          <cell r="EL5">
            <v>31.817923</v>
          </cell>
          <cell r="EM5">
            <v>43.749644000000004</v>
          </cell>
          <cell r="EN5">
            <v>67.613086999999993</v>
          </cell>
          <cell r="EO5">
            <v>63.635846000000001</v>
          </cell>
          <cell r="EP5">
            <v>71.590327000000002</v>
          </cell>
          <cell r="EQ5">
            <v>3.9772400000000001</v>
          </cell>
          <cell r="ER5">
            <v>11.931721</v>
          </cell>
          <cell r="ES5">
            <v>147.157895</v>
          </cell>
          <cell r="ET5">
            <v>0</v>
          </cell>
          <cell r="EU5">
            <v>7.9544810000000004</v>
          </cell>
          <cell r="EV5">
            <v>0</v>
          </cell>
          <cell r="EW5">
            <v>0</v>
          </cell>
          <cell r="EX5">
            <v>0</v>
          </cell>
          <cell r="EY5">
            <v>19.886202000000001</v>
          </cell>
          <cell r="EZ5">
            <v>111.362731</v>
          </cell>
          <cell r="FA5">
            <v>7.9544810000000004</v>
          </cell>
        </row>
        <row r="6">
          <cell r="A6" t="str">
            <v>37050</v>
          </cell>
          <cell r="B6" t="str">
            <v>Chambray-lès-Tours</v>
          </cell>
          <cell r="C6" t="str">
            <v>Tour(s)plus</v>
          </cell>
          <cell r="D6">
            <v>10525.651862000001</v>
          </cell>
          <cell r="E6">
            <v>10269</v>
          </cell>
          <cell r="F6">
            <v>8190</v>
          </cell>
          <cell r="G6">
            <v>7357</v>
          </cell>
          <cell r="H6">
            <v>5644</v>
          </cell>
          <cell r="I6">
            <v>3126</v>
          </cell>
          <cell r="J6">
            <v>19.399999999999999</v>
          </cell>
          <cell r="K6">
            <v>939</v>
          </cell>
          <cell r="L6">
            <v>1003</v>
          </cell>
          <cell r="M6">
            <v>735</v>
          </cell>
          <cell r="N6">
            <v>631</v>
          </cell>
          <cell r="O6">
            <v>617</v>
          </cell>
          <cell r="P6">
            <v>494</v>
          </cell>
          <cell r="Q6">
            <v>561</v>
          </cell>
          <cell r="R6">
            <v>330</v>
          </cell>
          <cell r="S6">
            <v>236</v>
          </cell>
          <cell r="T6">
            <v>175</v>
          </cell>
          <cell r="U6">
            <v>103</v>
          </cell>
          <cell r="V6">
            <v>113</v>
          </cell>
          <cell r="W6">
            <v>101</v>
          </cell>
          <cell r="X6">
            <v>134</v>
          </cell>
          <cell r="Y6">
            <v>122</v>
          </cell>
          <cell r="Z6">
            <v>144</v>
          </cell>
          <cell r="AA6">
            <v>147</v>
          </cell>
          <cell r="AB6">
            <v>144</v>
          </cell>
          <cell r="AC6">
            <v>147</v>
          </cell>
          <cell r="AD6">
            <v>114</v>
          </cell>
          <cell r="AE6">
            <v>75</v>
          </cell>
          <cell r="AF6">
            <v>61</v>
          </cell>
          <cell r="AG6">
            <v>78</v>
          </cell>
          <cell r="AH6">
            <v>62</v>
          </cell>
          <cell r="AI6">
            <v>78</v>
          </cell>
          <cell r="AJ6">
            <v>69</v>
          </cell>
          <cell r="AK6">
            <v>72</v>
          </cell>
          <cell r="AL6">
            <v>75</v>
          </cell>
          <cell r="AM6">
            <v>60</v>
          </cell>
          <cell r="AN6">
            <v>73</v>
          </cell>
          <cell r="AO6">
            <v>1703.165808</v>
          </cell>
          <cell r="AP6">
            <v>2258.134881</v>
          </cell>
          <cell r="AQ6">
            <v>2086.3033519999999</v>
          </cell>
          <cell r="AR6">
            <v>2290.7601119999999</v>
          </cell>
          <cell r="AS6">
            <v>1380.964248</v>
          </cell>
          <cell r="AT6">
            <v>806.32346099999995</v>
          </cell>
          <cell r="AU6">
            <v>1879</v>
          </cell>
          <cell r="AV6">
            <v>2472</v>
          </cell>
          <cell r="AW6">
            <v>2212</v>
          </cell>
          <cell r="AX6">
            <v>1824</v>
          </cell>
          <cell r="AY6">
            <v>1257</v>
          </cell>
          <cell r="AZ6">
            <v>625</v>
          </cell>
          <cell r="BA6">
            <v>4957.151734</v>
          </cell>
          <cell r="BB6">
            <v>886.71017400000005</v>
          </cell>
          <cell r="BC6">
            <v>1036.593938</v>
          </cell>
          <cell r="BD6">
            <v>1034.8354400000001</v>
          </cell>
          <cell r="BE6">
            <v>1117.2104770000001</v>
          </cell>
          <cell r="BF6">
            <v>601.99318300000004</v>
          </cell>
          <cell r="BG6">
            <v>258.95377100000002</v>
          </cell>
          <cell r="BH6">
            <v>20.854751</v>
          </cell>
          <cell r="BI6">
            <v>1232.0764630000001</v>
          </cell>
          <cell r="BJ6">
            <v>3045.3272769999999</v>
          </cell>
          <cell r="BK6">
            <v>679.74799399999995</v>
          </cell>
          <cell r="BL6">
            <v>5568.5001270000002</v>
          </cell>
          <cell r="BM6">
            <v>816.45563400000003</v>
          </cell>
          <cell r="BN6">
            <v>1221.540943</v>
          </cell>
          <cell r="BO6">
            <v>1051.4679120000001</v>
          </cell>
          <cell r="BP6">
            <v>1173.549636</v>
          </cell>
          <cell r="BQ6">
            <v>778.97106399999996</v>
          </cell>
          <cell r="BR6">
            <v>474.70512500000001</v>
          </cell>
          <cell r="BS6">
            <v>51.809812999999998</v>
          </cell>
          <cell r="BT6">
            <v>1185.7390539999999</v>
          </cell>
          <cell r="BU6">
            <v>3358.3152719999998</v>
          </cell>
          <cell r="BV6">
            <v>1024.4458010000001</v>
          </cell>
          <cell r="BW6">
            <v>10008.238296</v>
          </cell>
          <cell r="BX6">
            <v>6075.7433039999996</v>
          </cell>
          <cell r="BY6">
            <v>715.17588599999999</v>
          </cell>
          <cell r="BZ6">
            <v>1740.4678590000001</v>
          </cell>
          <cell r="CA6">
            <v>335.880831</v>
          </cell>
          <cell r="CB6">
            <v>1007.092039</v>
          </cell>
          <cell r="CC6">
            <v>56.681747999999999</v>
          </cell>
          <cell r="CD6">
            <v>77.196628000000004</v>
          </cell>
          <cell r="CE6">
            <v>1191.4930890000001</v>
          </cell>
          <cell r="CF6">
            <v>142.57275999999999</v>
          </cell>
          <cell r="CG6">
            <v>313.52985000000001</v>
          </cell>
          <cell r="CH6">
            <v>1609.9094070000001</v>
          </cell>
          <cell r="CI6">
            <v>75.962856000000002</v>
          </cell>
          <cell r="CJ6">
            <v>873.92174799999998</v>
          </cell>
          <cell r="CK6">
            <v>4297.6985549999999</v>
          </cell>
          <cell r="CL6">
            <v>416.379345</v>
          </cell>
          <cell r="CM6">
            <v>1721.067147</v>
          </cell>
          <cell r="CN6">
            <v>2914.8780919999999</v>
          </cell>
          <cell r="CO6">
            <v>80.260925</v>
          </cell>
          <cell r="CP6">
            <v>308.80036100000001</v>
          </cell>
          <cell r="CQ6">
            <v>8818.4860540000009</v>
          </cell>
          <cell r="CR6">
            <v>4.7556000000000003</v>
          </cell>
          <cell r="CS6">
            <v>216.99610899999999</v>
          </cell>
          <cell r="CT6">
            <v>932.249326</v>
          </cell>
          <cell r="CU6">
            <v>1489.8849740000001</v>
          </cell>
          <cell r="CV6">
            <v>1579.586789</v>
          </cell>
          <cell r="CW6">
            <v>926.106405</v>
          </cell>
          <cell r="CX6">
            <v>2198.5944730000001</v>
          </cell>
          <cell r="CY6">
            <v>1470.312377</v>
          </cell>
          <cell r="CZ6">
            <v>8408</v>
          </cell>
          <cell r="DA6">
            <v>8</v>
          </cell>
          <cell r="DB6">
            <v>324</v>
          </cell>
          <cell r="DC6">
            <v>668</v>
          </cell>
          <cell r="DD6">
            <v>1472</v>
          </cell>
          <cell r="DE6">
            <v>1536</v>
          </cell>
          <cell r="DF6">
            <v>956</v>
          </cell>
          <cell r="DG6">
            <v>1748</v>
          </cell>
          <cell r="DH6">
            <v>1696</v>
          </cell>
          <cell r="DI6">
            <v>4072.4415600000002</v>
          </cell>
          <cell r="DJ6">
            <v>4.7556000000000003</v>
          </cell>
          <cell r="DK6">
            <v>156.765309</v>
          </cell>
          <cell r="DL6">
            <v>631.63772800000004</v>
          </cell>
          <cell r="DM6">
            <v>719.53484700000001</v>
          </cell>
          <cell r="DN6">
            <v>333.54830800000002</v>
          </cell>
          <cell r="DO6">
            <v>767.77964799999995</v>
          </cell>
          <cell r="DP6">
            <v>944.31279700000005</v>
          </cell>
          <cell r="DQ6">
            <v>514.10732299999995</v>
          </cell>
          <cell r="DR6">
            <v>4746.0444939999998</v>
          </cell>
          <cell r="DS6">
            <v>0</v>
          </cell>
          <cell r="DT6">
            <v>60.230800000000002</v>
          </cell>
          <cell r="DU6">
            <v>300.61159800000001</v>
          </cell>
          <cell r="DV6">
            <v>770.35012700000004</v>
          </cell>
          <cell r="DW6">
            <v>1246.038481</v>
          </cell>
          <cell r="DX6">
            <v>158.32675699999999</v>
          </cell>
          <cell r="DY6">
            <v>1254.2816769999999</v>
          </cell>
          <cell r="DZ6">
            <v>956.20505400000002</v>
          </cell>
          <cell r="EA6">
            <v>1609.9094070000001</v>
          </cell>
          <cell r="EB6">
            <v>0</v>
          </cell>
          <cell r="EC6">
            <v>10.314125000000001</v>
          </cell>
          <cell r="ED6">
            <v>8.7017100000000003</v>
          </cell>
          <cell r="EE6">
            <v>165.56355500000001</v>
          </cell>
          <cell r="EF6">
            <v>253.132126</v>
          </cell>
          <cell r="EG6">
            <v>181.76253500000001</v>
          </cell>
          <cell r="EH6">
            <v>0</v>
          </cell>
          <cell r="EI6">
            <v>990.43535599999996</v>
          </cell>
          <cell r="EJ6">
            <v>4296.6985549999999</v>
          </cell>
          <cell r="EK6">
            <v>3.7451240000000001</v>
          </cell>
          <cell r="EL6">
            <v>177.975627</v>
          </cell>
          <cell r="EM6">
            <v>757.09405000000004</v>
          </cell>
          <cell r="EN6">
            <v>1201.019579</v>
          </cell>
          <cell r="EO6">
            <v>1154.1079440000001</v>
          </cell>
          <cell r="EP6">
            <v>691.31419600000004</v>
          </cell>
          <cell r="EQ6">
            <v>24.963498000000001</v>
          </cell>
          <cell r="ER6">
            <v>286.47853600000002</v>
          </cell>
          <cell r="ES6">
            <v>2911.8780919999999</v>
          </cell>
          <cell r="ET6">
            <v>1.0104770000000001</v>
          </cell>
          <cell r="EU6">
            <v>28.706357000000001</v>
          </cell>
          <cell r="EV6">
            <v>166.453566</v>
          </cell>
          <cell r="EW6">
            <v>123.30184</v>
          </cell>
          <cell r="EX6">
            <v>172.34671900000001</v>
          </cell>
          <cell r="EY6">
            <v>53.029673000000003</v>
          </cell>
          <cell r="EZ6">
            <v>2173.6309759999999</v>
          </cell>
          <cell r="FA6">
            <v>193.398484</v>
          </cell>
        </row>
        <row r="7">
          <cell r="A7" t="str">
            <v>37052</v>
          </cell>
          <cell r="B7" t="str">
            <v>Chançay</v>
          </cell>
          <cell r="C7" t="str">
            <v>Vouvrillon</v>
          </cell>
          <cell r="D7">
            <v>1000</v>
          </cell>
          <cell r="E7">
            <v>949</v>
          </cell>
          <cell r="F7">
            <v>894</v>
          </cell>
          <cell r="G7">
            <v>814</v>
          </cell>
          <cell r="H7">
            <v>603</v>
          </cell>
          <cell r="I7">
            <v>579</v>
          </cell>
          <cell r="J7">
            <v>15.04</v>
          </cell>
          <cell r="K7">
            <v>94</v>
          </cell>
          <cell r="L7">
            <v>101</v>
          </cell>
          <cell r="M7">
            <v>96</v>
          </cell>
          <cell r="N7">
            <v>75</v>
          </cell>
          <cell r="O7">
            <v>57</v>
          </cell>
          <cell r="P7">
            <v>41</v>
          </cell>
          <cell r="Q7">
            <v>55</v>
          </cell>
          <cell r="R7">
            <v>52</v>
          </cell>
          <cell r="S7">
            <v>54</v>
          </cell>
          <cell r="T7">
            <v>56</v>
          </cell>
          <cell r="U7">
            <v>16</v>
          </cell>
          <cell r="V7">
            <v>16</v>
          </cell>
          <cell r="W7">
            <v>18</v>
          </cell>
          <cell r="X7">
            <v>13</v>
          </cell>
          <cell r="Y7">
            <v>13</v>
          </cell>
          <cell r="Z7">
            <v>17</v>
          </cell>
          <cell r="AA7">
            <v>14</v>
          </cell>
          <cell r="AB7">
            <v>11</v>
          </cell>
          <cell r="AC7">
            <v>8</v>
          </cell>
          <cell r="AD7">
            <v>5</v>
          </cell>
          <cell r="AE7">
            <v>9</v>
          </cell>
          <cell r="AF7">
            <v>6</v>
          </cell>
          <cell r="AG7">
            <v>8</v>
          </cell>
          <cell r="AH7">
            <v>6</v>
          </cell>
          <cell r="AI7">
            <v>7</v>
          </cell>
          <cell r="AJ7">
            <v>3</v>
          </cell>
          <cell r="AK7">
            <v>5</v>
          </cell>
          <cell r="AL7">
            <v>7</v>
          </cell>
          <cell r="AM7">
            <v>5</v>
          </cell>
          <cell r="AN7">
            <v>10</v>
          </cell>
          <cell r="AO7">
            <v>189</v>
          </cell>
          <cell r="AP7">
            <v>176</v>
          </cell>
          <cell r="AQ7">
            <v>221</v>
          </cell>
          <cell r="AR7">
            <v>229</v>
          </cell>
          <cell r="AS7">
            <v>106</v>
          </cell>
          <cell r="AT7">
            <v>79</v>
          </cell>
          <cell r="AU7">
            <v>195</v>
          </cell>
          <cell r="AV7">
            <v>169</v>
          </cell>
          <cell r="AW7">
            <v>241</v>
          </cell>
          <cell r="AX7">
            <v>155</v>
          </cell>
          <cell r="AY7">
            <v>129</v>
          </cell>
          <cell r="AZ7">
            <v>60</v>
          </cell>
          <cell r="BA7">
            <v>503</v>
          </cell>
          <cell r="BB7">
            <v>99</v>
          </cell>
          <cell r="BC7">
            <v>93</v>
          </cell>
          <cell r="BD7">
            <v>110</v>
          </cell>
          <cell r="BE7">
            <v>116</v>
          </cell>
          <cell r="BF7">
            <v>50</v>
          </cell>
          <cell r="BG7">
            <v>32</v>
          </cell>
          <cell r="BH7">
            <v>3</v>
          </cell>
          <cell r="BI7">
            <v>131</v>
          </cell>
          <cell r="BJ7">
            <v>308</v>
          </cell>
          <cell r="BK7">
            <v>64</v>
          </cell>
          <cell r="BL7">
            <v>497</v>
          </cell>
          <cell r="BM7">
            <v>90</v>
          </cell>
          <cell r="BN7">
            <v>83</v>
          </cell>
          <cell r="BO7">
            <v>111</v>
          </cell>
          <cell r="BP7">
            <v>113</v>
          </cell>
          <cell r="BQ7">
            <v>56</v>
          </cell>
          <cell r="BR7">
            <v>44</v>
          </cell>
          <cell r="BS7">
            <v>0</v>
          </cell>
          <cell r="BT7">
            <v>123</v>
          </cell>
          <cell r="BU7">
            <v>296</v>
          </cell>
          <cell r="BV7">
            <v>78</v>
          </cell>
          <cell r="BW7">
            <v>925</v>
          </cell>
          <cell r="BX7">
            <v>680</v>
          </cell>
          <cell r="BY7">
            <v>56</v>
          </cell>
          <cell r="BZ7">
            <v>145</v>
          </cell>
          <cell r="CA7">
            <v>17</v>
          </cell>
          <cell r="CB7">
            <v>23</v>
          </cell>
          <cell r="CC7">
            <v>2</v>
          </cell>
          <cell r="CD7">
            <v>2</v>
          </cell>
          <cell r="CE7">
            <v>115</v>
          </cell>
          <cell r="CF7">
            <v>5</v>
          </cell>
          <cell r="CG7">
            <v>26</v>
          </cell>
          <cell r="CH7">
            <v>116</v>
          </cell>
          <cell r="CI7">
            <v>12</v>
          </cell>
          <cell r="CJ7">
            <v>23</v>
          </cell>
          <cell r="CK7">
            <v>445</v>
          </cell>
          <cell r="CL7">
            <v>35</v>
          </cell>
          <cell r="CM7">
            <v>125</v>
          </cell>
          <cell r="CN7">
            <v>250</v>
          </cell>
          <cell r="CO7">
            <v>4</v>
          </cell>
          <cell r="CP7">
            <v>15</v>
          </cell>
          <cell r="CQ7">
            <v>796</v>
          </cell>
          <cell r="CR7">
            <v>68</v>
          </cell>
          <cell r="CS7">
            <v>16</v>
          </cell>
          <cell r="CT7">
            <v>44</v>
          </cell>
          <cell r="CU7">
            <v>144</v>
          </cell>
          <cell r="CV7">
            <v>112</v>
          </cell>
          <cell r="CW7">
            <v>128</v>
          </cell>
          <cell r="CX7">
            <v>204</v>
          </cell>
          <cell r="CY7">
            <v>80</v>
          </cell>
          <cell r="CZ7">
            <v>756</v>
          </cell>
          <cell r="DA7">
            <v>52</v>
          </cell>
          <cell r="DB7">
            <v>36</v>
          </cell>
          <cell r="DC7">
            <v>28</v>
          </cell>
          <cell r="DD7">
            <v>88</v>
          </cell>
          <cell r="DE7">
            <v>120</v>
          </cell>
          <cell r="DF7">
            <v>140</v>
          </cell>
          <cell r="DG7">
            <v>184</v>
          </cell>
          <cell r="DH7">
            <v>108</v>
          </cell>
          <cell r="DI7">
            <v>412</v>
          </cell>
          <cell r="DJ7">
            <v>52</v>
          </cell>
          <cell r="DK7">
            <v>12</v>
          </cell>
          <cell r="DL7">
            <v>28</v>
          </cell>
          <cell r="DM7">
            <v>80</v>
          </cell>
          <cell r="DN7">
            <v>16</v>
          </cell>
          <cell r="DO7">
            <v>100</v>
          </cell>
          <cell r="DP7">
            <v>88</v>
          </cell>
          <cell r="DQ7">
            <v>36</v>
          </cell>
          <cell r="DR7">
            <v>384</v>
          </cell>
          <cell r="DS7">
            <v>16</v>
          </cell>
          <cell r="DT7">
            <v>4</v>
          </cell>
          <cell r="DU7">
            <v>16</v>
          </cell>
          <cell r="DV7">
            <v>64</v>
          </cell>
          <cell r="DW7">
            <v>96</v>
          </cell>
          <cell r="DX7">
            <v>28</v>
          </cell>
          <cell r="DY7">
            <v>116</v>
          </cell>
          <cell r="DZ7">
            <v>44</v>
          </cell>
          <cell r="EA7">
            <v>88</v>
          </cell>
          <cell r="EB7">
            <v>0</v>
          </cell>
          <cell r="EC7">
            <v>0</v>
          </cell>
          <cell r="ED7">
            <v>0</v>
          </cell>
          <cell r="EE7">
            <v>4</v>
          </cell>
          <cell r="EF7">
            <v>8</v>
          </cell>
          <cell r="EG7">
            <v>28</v>
          </cell>
          <cell r="EH7">
            <v>0</v>
          </cell>
          <cell r="EI7">
            <v>48</v>
          </cell>
          <cell r="EJ7">
            <v>432</v>
          </cell>
          <cell r="EK7">
            <v>48</v>
          </cell>
          <cell r="EL7">
            <v>12</v>
          </cell>
          <cell r="EM7">
            <v>40</v>
          </cell>
          <cell r="EN7">
            <v>128</v>
          </cell>
          <cell r="EO7">
            <v>92</v>
          </cell>
          <cell r="EP7">
            <v>92</v>
          </cell>
          <cell r="EQ7">
            <v>0</v>
          </cell>
          <cell r="ER7">
            <v>20</v>
          </cell>
          <cell r="ES7">
            <v>276</v>
          </cell>
          <cell r="ET7">
            <v>20</v>
          </cell>
          <cell r="EU7">
            <v>4</v>
          </cell>
          <cell r="EV7">
            <v>4</v>
          </cell>
          <cell r="EW7">
            <v>12</v>
          </cell>
          <cell r="EX7">
            <v>12</v>
          </cell>
          <cell r="EY7">
            <v>8</v>
          </cell>
          <cell r="EZ7">
            <v>204</v>
          </cell>
          <cell r="FA7">
            <v>12</v>
          </cell>
        </row>
        <row r="8">
          <cell r="A8" t="str">
            <v>37054</v>
          </cell>
          <cell r="B8" t="str">
            <v>Chanceaux-sur-Choisille</v>
          </cell>
          <cell r="C8" t="str">
            <v>Vouvrillon</v>
          </cell>
          <cell r="D8">
            <v>3479</v>
          </cell>
          <cell r="E8">
            <v>2822</v>
          </cell>
          <cell r="F8">
            <v>2601</v>
          </cell>
          <cell r="G8">
            <v>1801</v>
          </cell>
          <cell r="H8">
            <v>959</v>
          </cell>
          <cell r="I8">
            <v>701</v>
          </cell>
          <cell r="J8">
            <v>18.47</v>
          </cell>
          <cell r="K8">
            <v>279</v>
          </cell>
          <cell r="L8">
            <v>218</v>
          </cell>
          <cell r="M8">
            <v>253</v>
          </cell>
          <cell r="N8">
            <v>171</v>
          </cell>
          <cell r="O8">
            <v>91</v>
          </cell>
          <cell r="P8">
            <v>81</v>
          </cell>
          <cell r="Q8">
            <v>81</v>
          </cell>
          <cell r="R8">
            <v>69</v>
          </cell>
          <cell r="S8">
            <v>48</v>
          </cell>
          <cell r="T8">
            <v>54</v>
          </cell>
          <cell r="U8">
            <v>55</v>
          </cell>
          <cell r="V8">
            <v>46</v>
          </cell>
          <cell r="W8">
            <v>52</v>
          </cell>
          <cell r="X8">
            <v>39</v>
          </cell>
          <cell r="Y8">
            <v>38</v>
          </cell>
          <cell r="Z8">
            <v>42</v>
          </cell>
          <cell r="AA8">
            <v>29</v>
          </cell>
          <cell r="AB8">
            <v>43</v>
          </cell>
          <cell r="AC8">
            <v>36</v>
          </cell>
          <cell r="AD8">
            <v>28</v>
          </cell>
          <cell r="AE8">
            <v>8</v>
          </cell>
          <cell r="AF8">
            <v>5</v>
          </cell>
          <cell r="AG8">
            <v>14</v>
          </cell>
          <cell r="AH8">
            <v>7</v>
          </cell>
          <cell r="AI8">
            <v>10</v>
          </cell>
          <cell r="AJ8">
            <v>10</v>
          </cell>
          <cell r="AK8">
            <v>14</v>
          </cell>
          <cell r="AL8">
            <v>16</v>
          </cell>
          <cell r="AM8">
            <v>10</v>
          </cell>
          <cell r="AN8">
            <v>8</v>
          </cell>
          <cell r="AO8">
            <v>820.803361</v>
          </cell>
          <cell r="AP8">
            <v>553.07058800000004</v>
          </cell>
          <cell r="AQ8">
            <v>879.24986000000001</v>
          </cell>
          <cell r="AR8">
            <v>832.51372500000002</v>
          </cell>
          <cell r="AS8">
            <v>310.60055999999997</v>
          </cell>
          <cell r="AT8">
            <v>82.761904999999999</v>
          </cell>
          <cell r="AU8">
            <v>661</v>
          </cell>
          <cell r="AV8">
            <v>505</v>
          </cell>
          <cell r="AW8">
            <v>777</v>
          </cell>
          <cell r="AX8">
            <v>622</v>
          </cell>
          <cell r="AY8">
            <v>181</v>
          </cell>
          <cell r="AZ8">
            <v>76</v>
          </cell>
          <cell r="BA8">
            <v>1737.1053219999999</v>
          </cell>
          <cell r="BB8">
            <v>407.96750700000001</v>
          </cell>
          <cell r="BC8">
            <v>279.46946800000001</v>
          </cell>
          <cell r="BD8">
            <v>413.83585399999998</v>
          </cell>
          <cell r="BE8">
            <v>434.28291300000001</v>
          </cell>
          <cell r="BF8">
            <v>160.655462</v>
          </cell>
          <cell r="BG8">
            <v>39.920448</v>
          </cell>
          <cell r="BH8">
            <v>0.97366900000000001</v>
          </cell>
          <cell r="BI8">
            <v>542.33389399999999</v>
          </cell>
          <cell r="BJ8">
            <v>1077.931092</v>
          </cell>
          <cell r="BK8">
            <v>116.84033599999999</v>
          </cell>
          <cell r="BL8">
            <v>1741.8946780000001</v>
          </cell>
          <cell r="BM8">
            <v>412.83585399999998</v>
          </cell>
          <cell r="BN8">
            <v>273.60111999999998</v>
          </cell>
          <cell r="BO8">
            <v>465.41400599999997</v>
          </cell>
          <cell r="BP8">
            <v>398.23081200000001</v>
          </cell>
          <cell r="BQ8">
            <v>149.945098</v>
          </cell>
          <cell r="BR8">
            <v>38.946778999999999</v>
          </cell>
          <cell r="BS8">
            <v>2.921008</v>
          </cell>
          <cell r="BT8">
            <v>538.43921599999999</v>
          </cell>
          <cell r="BU8">
            <v>1077.8521009999999</v>
          </cell>
          <cell r="BV8">
            <v>125.60336100000001</v>
          </cell>
          <cell r="BW8">
            <v>3204.4252099999999</v>
          </cell>
          <cell r="BX8">
            <v>2124.5467789999998</v>
          </cell>
          <cell r="BY8">
            <v>120.81400600000001</v>
          </cell>
          <cell r="BZ8">
            <v>680.59495800000002</v>
          </cell>
          <cell r="CA8">
            <v>44.788795999999998</v>
          </cell>
          <cell r="CB8">
            <v>214.20728299999999</v>
          </cell>
          <cell r="CC8">
            <v>5.8420170000000002</v>
          </cell>
          <cell r="CD8">
            <v>13.631373</v>
          </cell>
          <cell r="CE8">
            <v>551.09691899999996</v>
          </cell>
          <cell r="CF8">
            <v>33.104762000000001</v>
          </cell>
          <cell r="CG8">
            <v>189.86554599999999</v>
          </cell>
          <cell r="CH8">
            <v>407.96750700000001</v>
          </cell>
          <cell r="CI8">
            <v>10.710364</v>
          </cell>
          <cell r="CJ8">
            <v>104.182633</v>
          </cell>
          <cell r="CK8">
            <v>1608.580952</v>
          </cell>
          <cell r="CL8">
            <v>71.156863000000001</v>
          </cell>
          <cell r="CM8">
            <v>611.464426</v>
          </cell>
          <cell r="CN8">
            <v>641.64817900000003</v>
          </cell>
          <cell r="CO8">
            <v>5.8420170000000002</v>
          </cell>
          <cell r="CP8">
            <v>53.551820999999997</v>
          </cell>
          <cell r="CQ8">
            <v>2597.7501400000001</v>
          </cell>
          <cell r="CR8">
            <v>0</v>
          </cell>
          <cell r="CS8">
            <v>70.104202000000001</v>
          </cell>
          <cell r="CT8">
            <v>210.31260499999999</v>
          </cell>
          <cell r="CU8">
            <v>521.88683500000002</v>
          </cell>
          <cell r="CV8">
            <v>572.51764700000001</v>
          </cell>
          <cell r="CW8">
            <v>494.62409000000002</v>
          </cell>
          <cell r="CX8">
            <v>393.36246499999999</v>
          </cell>
          <cell r="CY8">
            <v>334.942297</v>
          </cell>
          <cell r="CZ8">
            <v>2196</v>
          </cell>
          <cell r="DA8">
            <v>28</v>
          </cell>
          <cell r="DB8">
            <v>76</v>
          </cell>
          <cell r="DC8">
            <v>112</v>
          </cell>
          <cell r="DD8">
            <v>340</v>
          </cell>
          <cell r="DE8">
            <v>544</v>
          </cell>
          <cell r="DF8">
            <v>416</v>
          </cell>
          <cell r="DG8">
            <v>252</v>
          </cell>
          <cell r="DH8">
            <v>428</v>
          </cell>
          <cell r="DI8">
            <v>1289.138375</v>
          </cell>
          <cell r="DJ8">
            <v>0</v>
          </cell>
          <cell r="DK8">
            <v>54.525489999999998</v>
          </cell>
          <cell r="DL8">
            <v>151.892437</v>
          </cell>
          <cell r="DM8">
            <v>280.41680700000001</v>
          </cell>
          <cell r="DN8">
            <v>97.366946999999996</v>
          </cell>
          <cell r="DO8">
            <v>393.36246499999999</v>
          </cell>
          <cell r="DP8">
            <v>214.20728299999999</v>
          </cell>
          <cell r="DQ8">
            <v>97.366946999999996</v>
          </cell>
          <cell r="DR8">
            <v>1308.6117650000001</v>
          </cell>
          <cell r="DS8">
            <v>0</v>
          </cell>
          <cell r="DT8">
            <v>15.578711</v>
          </cell>
          <cell r="DU8">
            <v>58.420167999999997</v>
          </cell>
          <cell r="DV8">
            <v>241.47002800000001</v>
          </cell>
          <cell r="DW8">
            <v>475.15069999999997</v>
          </cell>
          <cell r="DX8">
            <v>101.261625</v>
          </cell>
          <cell r="DY8">
            <v>179.155182</v>
          </cell>
          <cell r="DZ8">
            <v>237.57534999999999</v>
          </cell>
          <cell r="EA8">
            <v>369.99439799999999</v>
          </cell>
          <cell r="EB8">
            <v>0</v>
          </cell>
          <cell r="EC8">
            <v>0</v>
          </cell>
          <cell r="ED8">
            <v>7.7893559999999997</v>
          </cell>
          <cell r="EE8">
            <v>23.368067</v>
          </cell>
          <cell r="EF8">
            <v>58.420167999999997</v>
          </cell>
          <cell r="EG8">
            <v>85.682912999999999</v>
          </cell>
          <cell r="EH8">
            <v>0</v>
          </cell>
          <cell r="EI8">
            <v>194.73389399999999</v>
          </cell>
          <cell r="EJ8">
            <v>1624.080672</v>
          </cell>
          <cell r="EK8">
            <v>0</v>
          </cell>
          <cell r="EL8">
            <v>54.525489999999998</v>
          </cell>
          <cell r="EM8">
            <v>163.576471</v>
          </cell>
          <cell r="EN8">
            <v>459.57198899999997</v>
          </cell>
          <cell r="EO8">
            <v>455.67731099999997</v>
          </cell>
          <cell r="EP8">
            <v>393.36246499999999</v>
          </cell>
          <cell r="EQ8">
            <v>19.473389000000001</v>
          </cell>
          <cell r="ER8">
            <v>77.893557000000001</v>
          </cell>
          <cell r="ES8">
            <v>603.67507000000001</v>
          </cell>
          <cell r="ET8">
            <v>0</v>
          </cell>
          <cell r="EU8">
            <v>15.578711</v>
          </cell>
          <cell r="EV8">
            <v>38.946778999999999</v>
          </cell>
          <cell r="EW8">
            <v>38.946778999999999</v>
          </cell>
          <cell r="EX8">
            <v>58.420167999999997</v>
          </cell>
          <cell r="EY8">
            <v>15.578711</v>
          </cell>
          <cell r="EZ8">
            <v>373.88907599999999</v>
          </cell>
          <cell r="FA8">
            <v>62.314846000000003</v>
          </cell>
        </row>
        <row r="9">
          <cell r="A9" t="str">
            <v>37099</v>
          </cell>
          <cell r="B9" t="str">
            <v>Druye</v>
          </cell>
          <cell r="C9" t="str">
            <v>Tour(s)plus</v>
          </cell>
          <cell r="D9">
            <v>845</v>
          </cell>
          <cell r="E9">
            <v>721</v>
          </cell>
          <cell r="F9">
            <v>681</v>
          </cell>
          <cell r="G9">
            <v>578</v>
          </cell>
          <cell r="H9">
            <v>530</v>
          </cell>
          <cell r="I9">
            <v>466</v>
          </cell>
          <cell r="J9">
            <v>22.87</v>
          </cell>
          <cell r="K9">
            <v>79</v>
          </cell>
          <cell r="L9">
            <v>81</v>
          </cell>
          <cell r="M9">
            <v>63</v>
          </cell>
          <cell r="N9">
            <v>45</v>
          </cell>
          <cell r="O9">
            <v>56</v>
          </cell>
          <cell r="P9">
            <v>113</v>
          </cell>
          <cell r="Q9">
            <v>111</v>
          </cell>
          <cell r="R9">
            <v>34</v>
          </cell>
          <cell r="S9">
            <v>32</v>
          </cell>
          <cell r="T9">
            <v>46</v>
          </cell>
          <cell r="U9">
            <v>14</v>
          </cell>
          <cell r="V9">
            <v>16</v>
          </cell>
          <cell r="W9">
            <v>18</v>
          </cell>
          <cell r="X9">
            <v>11</v>
          </cell>
          <cell r="Y9">
            <v>9</v>
          </cell>
          <cell r="Z9">
            <v>9</v>
          </cell>
          <cell r="AA9">
            <v>9</v>
          </cell>
          <cell r="AB9">
            <v>14</v>
          </cell>
          <cell r="AC9">
            <v>9</v>
          </cell>
          <cell r="AD9">
            <v>9</v>
          </cell>
          <cell r="AE9">
            <v>17</v>
          </cell>
          <cell r="AF9">
            <v>17</v>
          </cell>
          <cell r="AG9">
            <v>14</v>
          </cell>
          <cell r="AH9">
            <v>9</v>
          </cell>
          <cell r="AI9">
            <v>23</v>
          </cell>
          <cell r="AJ9">
            <v>16</v>
          </cell>
          <cell r="AK9">
            <v>15</v>
          </cell>
          <cell r="AL9">
            <v>23</v>
          </cell>
          <cell r="AM9">
            <v>13</v>
          </cell>
          <cell r="AN9">
            <v>16</v>
          </cell>
          <cell r="AO9">
            <v>203.352801</v>
          </cell>
          <cell r="AP9">
            <v>100.244338</v>
          </cell>
          <cell r="AQ9">
            <v>224.35637700000001</v>
          </cell>
          <cell r="AR9">
            <v>145.11561399999999</v>
          </cell>
          <cell r="AS9">
            <v>94.561383000000006</v>
          </cell>
          <cell r="AT9">
            <v>77.369487000000007</v>
          </cell>
          <cell r="AU9">
            <v>125</v>
          </cell>
          <cell r="AV9">
            <v>137</v>
          </cell>
          <cell r="AW9">
            <v>159</v>
          </cell>
          <cell r="AX9">
            <v>151</v>
          </cell>
          <cell r="AY9">
            <v>77</v>
          </cell>
          <cell r="AZ9">
            <v>72</v>
          </cell>
          <cell r="BA9">
            <v>410.97735399999999</v>
          </cell>
          <cell r="BB9">
            <v>98.334923000000003</v>
          </cell>
          <cell r="BC9">
            <v>46.780690999999997</v>
          </cell>
          <cell r="BD9">
            <v>116.474374</v>
          </cell>
          <cell r="BE9">
            <v>71.603099</v>
          </cell>
          <cell r="BF9">
            <v>50.599522999999998</v>
          </cell>
          <cell r="BG9">
            <v>23.184743999999998</v>
          </cell>
          <cell r="BH9">
            <v>4</v>
          </cell>
          <cell r="BI9">
            <v>116.474374</v>
          </cell>
          <cell r="BJ9">
            <v>242.49582799999999</v>
          </cell>
          <cell r="BK9">
            <v>52.007151</v>
          </cell>
          <cell r="BL9">
            <v>434.02264600000001</v>
          </cell>
          <cell r="BM9">
            <v>105.017878</v>
          </cell>
          <cell r="BN9">
            <v>53.463647000000002</v>
          </cell>
          <cell r="BO9">
            <v>107.882002</v>
          </cell>
          <cell r="BP9">
            <v>73.512514999999993</v>
          </cell>
          <cell r="BQ9">
            <v>43.961858999999997</v>
          </cell>
          <cell r="BR9">
            <v>31.275327999999998</v>
          </cell>
          <cell r="BS9">
            <v>18.909416</v>
          </cell>
          <cell r="BT9">
            <v>120.293206</v>
          </cell>
          <cell r="BU9">
            <v>242.49582799999999</v>
          </cell>
          <cell r="BV9">
            <v>71.233610999999996</v>
          </cell>
          <cell r="BW9">
            <v>761.94040500000006</v>
          </cell>
          <cell r="BX9">
            <v>488.89392099999998</v>
          </cell>
          <cell r="BY9">
            <v>13.365912</v>
          </cell>
          <cell r="BZ9">
            <v>224.35637700000001</v>
          </cell>
          <cell r="CA9">
            <v>7.637664</v>
          </cell>
          <cell r="CB9">
            <v>24.822407999999999</v>
          </cell>
          <cell r="CC9">
            <v>0</v>
          </cell>
          <cell r="CD9">
            <v>2.8641239999999999</v>
          </cell>
          <cell r="CE9">
            <v>122.20262200000001</v>
          </cell>
          <cell r="CF9">
            <v>2.8641239999999999</v>
          </cell>
          <cell r="CG9">
            <v>47.735399000000001</v>
          </cell>
          <cell r="CH9">
            <v>59.191895000000002</v>
          </cell>
          <cell r="CI9">
            <v>0.954708</v>
          </cell>
          <cell r="CJ9">
            <v>20.048867999999999</v>
          </cell>
          <cell r="CK9">
            <v>355.15137099999998</v>
          </cell>
          <cell r="CL9">
            <v>6.6829559999999999</v>
          </cell>
          <cell r="CM9">
            <v>172.802145</v>
          </cell>
          <cell r="CN9">
            <v>227.303933</v>
          </cell>
          <cell r="CO9">
            <v>2.8641239999999999</v>
          </cell>
          <cell r="CP9">
            <v>19.094159999999999</v>
          </cell>
          <cell r="CQ9">
            <v>620.64362300000005</v>
          </cell>
          <cell r="CR9">
            <v>19.094159999999999</v>
          </cell>
          <cell r="CS9">
            <v>26.731824</v>
          </cell>
          <cell r="CT9">
            <v>42.007151</v>
          </cell>
          <cell r="CU9">
            <v>114.564958</v>
          </cell>
          <cell r="CV9">
            <v>137.47794999999999</v>
          </cell>
          <cell r="CW9">
            <v>91.651966999999999</v>
          </cell>
          <cell r="CX9">
            <v>124.195471</v>
          </cell>
          <cell r="CY9">
            <v>64.920142999999996</v>
          </cell>
          <cell r="CZ9">
            <v>596</v>
          </cell>
          <cell r="DA9">
            <v>12</v>
          </cell>
          <cell r="DB9">
            <v>28</v>
          </cell>
          <cell r="DC9">
            <v>20</v>
          </cell>
          <cell r="DD9">
            <v>72</v>
          </cell>
          <cell r="DE9">
            <v>92</v>
          </cell>
          <cell r="DF9">
            <v>96</v>
          </cell>
          <cell r="DG9">
            <v>100</v>
          </cell>
          <cell r="DH9">
            <v>176</v>
          </cell>
          <cell r="DI9">
            <v>298.23122799999999</v>
          </cell>
          <cell r="DJ9">
            <v>15.275328</v>
          </cell>
          <cell r="DK9">
            <v>19.094159999999999</v>
          </cell>
          <cell r="DL9">
            <v>30.550656</v>
          </cell>
          <cell r="DM9">
            <v>57.282479000000002</v>
          </cell>
          <cell r="DN9">
            <v>38.188319</v>
          </cell>
          <cell r="DO9">
            <v>80.195470999999998</v>
          </cell>
          <cell r="DP9">
            <v>50.007151</v>
          </cell>
          <cell r="DQ9">
            <v>7.637664</v>
          </cell>
          <cell r="DR9">
            <v>322.412396</v>
          </cell>
          <cell r="DS9">
            <v>3.818832</v>
          </cell>
          <cell r="DT9">
            <v>7.637664</v>
          </cell>
          <cell r="DU9">
            <v>11.456496</v>
          </cell>
          <cell r="DV9">
            <v>57.282479000000002</v>
          </cell>
          <cell r="DW9">
            <v>99.289631</v>
          </cell>
          <cell r="DX9">
            <v>11.456496</v>
          </cell>
          <cell r="DY9">
            <v>74.188319000000007</v>
          </cell>
          <cell r="DZ9">
            <v>57.282479000000002</v>
          </cell>
          <cell r="EA9">
            <v>45.825983000000001</v>
          </cell>
          <cell r="EB9">
            <v>0</v>
          </cell>
          <cell r="EC9">
            <v>0</v>
          </cell>
          <cell r="ED9">
            <v>0</v>
          </cell>
          <cell r="EE9">
            <v>3.818832</v>
          </cell>
          <cell r="EF9">
            <v>11.456496</v>
          </cell>
          <cell r="EG9">
            <v>3.818832</v>
          </cell>
          <cell r="EH9">
            <v>0</v>
          </cell>
          <cell r="EI9">
            <v>26.731824</v>
          </cell>
          <cell r="EJ9">
            <v>370.42669799999999</v>
          </cell>
          <cell r="EK9">
            <v>15.275328</v>
          </cell>
          <cell r="EL9">
            <v>22.912991999999999</v>
          </cell>
          <cell r="EM9">
            <v>38.188319</v>
          </cell>
          <cell r="EN9">
            <v>99.289631</v>
          </cell>
          <cell r="EO9">
            <v>103.108462</v>
          </cell>
          <cell r="EP9">
            <v>76.376638999999997</v>
          </cell>
          <cell r="EQ9">
            <v>0</v>
          </cell>
          <cell r="ER9">
            <v>15.275328</v>
          </cell>
          <cell r="ES9">
            <v>204.390942</v>
          </cell>
          <cell r="ET9">
            <v>3.818832</v>
          </cell>
          <cell r="EU9">
            <v>3.818832</v>
          </cell>
          <cell r="EV9">
            <v>3.818832</v>
          </cell>
          <cell r="EW9">
            <v>11.456496</v>
          </cell>
          <cell r="EX9">
            <v>22.912991999999999</v>
          </cell>
          <cell r="EY9">
            <v>11.456496</v>
          </cell>
          <cell r="EZ9">
            <v>124.195471</v>
          </cell>
          <cell r="FA9">
            <v>22.912991999999999</v>
          </cell>
        </row>
        <row r="10">
          <cell r="A10" t="str">
            <v>37104</v>
          </cell>
          <cell r="B10" t="str">
            <v>Esvres</v>
          </cell>
          <cell r="C10" t="str">
            <v>CC du Val de l'Indre</v>
          </cell>
          <cell r="D10">
            <v>4411</v>
          </cell>
          <cell r="E10">
            <v>4278</v>
          </cell>
          <cell r="F10">
            <v>4234</v>
          </cell>
          <cell r="G10">
            <v>4160</v>
          </cell>
          <cell r="H10">
            <v>3050</v>
          </cell>
          <cell r="I10">
            <v>2473</v>
          </cell>
          <cell r="J10">
            <v>35.85</v>
          </cell>
          <cell r="K10">
            <v>318</v>
          </cell>
          <cell r="L10">
            <v>431</v>
          </cell>
          <cell r="M10">
            <v>372</v>
          </cell>
          <cell r="N10">
            <v>346</v>
          </cell>
          <cell r="O10">
            <v>278</v>
          </cell>
          <cell r="P10">
            <v>186</v>
          </cell>
          <cell r="Q10">
            <v>255</v>
          </cell>
          <cell r="R10">
            <v>238</v>
          </cell>
          <cell r="S10">
            <v>191</v>
          </cell>
          <cell r="T10">
            <v>190</v>
          </cell>
          <cell r="U10">
            <v>48</v>
          </cell>
          <cell r="V10">
            <v>40</v>
          </cell>
          <cell r="W10">
            <v>55</v>
          </cell>
          <cell r="X10">
            <v>35</v>
          </cell>
          <cell r="Y10">
            <v>39</v>
          </cell>
          <cell r="Z10">
            <v>50</v>
          </cell>
          <cell r="AA10">
            <v>54</v>
          </cell>
          <cell r="AB10">
            <v>50</v>
          </cell>
          <cell r="AC10">
            <v>35</v>
          </cell>
          <cell r="AD10">
            <v>52</v>
          </cell>
          <cell r="AE10">
            <v>21</v>
          </cell>
          <cell r="AF10">
            <v>13</v>
          </cell>
          <cell r="AG10">
            <v>24</v>
          </cell>
          <cell r="AH10">
            <v>27</v>
          </cell>
          <cell r="AI10">
            <v>31</v>
          </cell>
          <cell r="AJ10">
            <v>29</v>
          </cell>
          <cell r="AK10">
            <v>34</v>
          </cell>
          <cell r="AL10">
            <v>25</v>
          </cell>
          <cell r="AM10">
            <v>16</v>
          </cell>
          <cell r="AN10">
            <v>20</v>
          </cell>
          <cell r="AO10">
            <v>822.67823699999997</v>
          </cell>
          <cell r="AP10">
            <v>612.37977699999999</v>
          </cell>
          <cell r="AQ10">
            <v>952.33491700000002</v>
          </cell>
          <cell r="AR10">
            <v>1185.557558</v>
          </cell>
          <cell r="AS10">
            <v>583.94260499999996</v>
          </cell>
          <cell r="AT10">
            <v>254.10690600000001</v>
          </cell>
          <cell r="AU10">
            <v>835</v>
          </cell>
          <cell r="AV10">
            <v>688</v>
          </cell>
          <cell r="AW10">
            <v>1000</v>
          </cell>
          <cell r="AX10">
            <v>1018</v>
          </cell>
          <cell r="AY10">
            <v>517</v>
          </cell>
          <cell r="AZ10">
            <v>220</v>
          </cell>
          <cell r="BA10">
            <v>2192.2346149999998</v>
          </cell>
          <cell r="BB10">
            <v>412.49529899999999</v>
          </cell>
          <cell r="BC10">
            <v>310.97087699999997</v>
          </cell>
          <cell r="BD10">
            <v>479.18893000000003</v>
          </cell>
          <cell r="BE10">
            <v>605.30036500000006</v>
          </cell>
          <cell r="BF10">
            <v>291.66029700000001</v>
          </cell>
          <cell r="BG10">
            <v>88.550630999999996</v>
          </cell>
          <cell r="BH10">
            <v>4.0682150000000004</v>
          </cell>
          <cell r="BI10">
            <v>570.95496300000002</v>
          </cell>
          <cell r="BJ10">
            <v>1344.5951990000001</v>
          </cell>
          <cell r="BK10">
            <v>276.68445300000002</v>
          </cell>
          <cell r="BL10">
            <v>2218.7653850000002</v>
          </cell>
          <cell r="BM10">
            <v>410.18293799999998</v>
          </cell>
          <cell r="BN10">
            <v>301.40890000000002</v>
          </cell>
          <cell r="BO10">
            <v>473.14598699999999</v>
          </cell>
          <cell r="BP10">
            <v>580.25719300000003</v>
          </cell>
          <cell r="BQ10">
            <v>292.282308</v>
          </cell>
          <cell r="BR10">
            <v>145.146264</v>
          </cell>
          <cell r="BS10">
            <v>16.341795999999999</v>
          </cell>
          <cell r="BT10">
            <v>548.94490699999994</v>
          </cell>
          <cell r="BU10">
            <v>1329.0612209999999</v>
          </cell>
          <cell r="BV10">
            <v>340.75925799999999</v>
          </cell>
          <cell r="BW10">
            <v>4170.5034219999998</v>
          </cell>
          <cell r="BX10">
            <v>2946.9410640000001</v>
          </cell>
          <cell r="BY10">
            <v>284.61534899999998</v>
          </cell>
          <cell r="BZ10">
            <v>650.92598399999997</v>
          </cell>
          <cell r="CA10">
            <v>52.029349000000003</v>
          </cell>
          <cell r="CB10">
            <v>206.20139800000001</v>
          </cell>
          <cell r="CC10">
            <v>11.850466000000001</v>
          </cell>
          <cell r="CD10">
            <v>17.939813000000001</v>
          </cell>
          <cell r="CE10">
            <v>587.091859</v>
          </cell>
          <cell r="CF10">
            <v>55.509267000000001</v>
          </cell>
          <cell r="CG10">
            <v>163.41661199999999</v>
          </cell>
          <cell r="CH10">
            <v>453.44367699999998</v>
          </cell>
          <cell r="CI10">
            <v>34.160939999999997</v>
          </cell>
          <cell r="CJ10">
            <v>104.21866199999999</v>
          </cell>
          <cell r="CK10">
            <v>1891.651239</v>
          </cell>
          <cell r="CL10">
            <v>160.42197200000001</v>
          </cell>
          <cell r="CM10">
            <v>565.71197700000005</v>
          </cell>
          <cell r="CN10">
            <v>1243.2268469999999</v>
          </cell>
          <cell r="CO10">
            <v>34.52317</v>
          </cell>
          <cell r="CP10">
            <v>105.59975900000001</v>
          </cell>
          <cell r="CQ10">
            <v>3621.6709080000001</v>
          </cell>
          <cell r="CR10">
            <v>11.721631</v>
          </cell>
          <cell r="CS10">
            <v>208.767214</v>
          </cell>
          <cell r="CT10">
            <v>280.06837200000001</v>
          </cell>
          <cell r="CU10">
            <v>516.57390999999996</v>
          </cell>
          <cell r="CV10">
            <v>641.63785399999995</v>
          </cell>
          <cell r="CW10">
            <v>492.18682999999999</v>
          </cell>
          <cell r="CX10">
            <v>916.24299599999995</v>
          </cell>
          <cell r="CY10">
            <v>554.47210099999995</v>
          </cell>
          <cell r="CZ10">
            <v>3425</v>
          </cell>
          <cell r="DA10">
            <v>30</v>
          </cell>
          <cell r="DB10">
            <v>172</v>
          </cell>
          <cell r="DC10">
            <v>183</v>
          </cell>
          <cell r="DD10">
            <v>473</v>
          </cell>
          <cell r="DE10">
            <v>628</v>
          </cell>
          <cell r="DF10">
            <v>577</v>
          </cell>
          <cell r="DG10">
            <v>682</v>
          </cell>
          <cell r="DH10">
            <v>680</v>
          </cell>
          <cell r="DI10">
            <v>1779.4644619999999</v>
          </cell>
          <cell r="DJ10">
            <v>7.8669130000000003</v>
          </cell>
          <cell r="DK10">
            <v>144.27577600000001</v>
          </cell>
          <cell r="DL10">
            <v>188.28323399999999</v>
          </cell>
          <cell r="DM10">
            <v>268.08122100000003</v>
          </cell>
          <cell r="DN10">
            <v>116.359504</v>
          </cell>
          <cell r="DO10">
            <v>399.80532499999998</v>
          </cell>
          <cell r="DP10">
            <v>451.387092</v>
          </cell>
          <cell r="DQ10">
            <v>203.40539699999999</v>
          </cell>
          <cell r="DR10">
            <v>1842.206445</v>
          </cell>
          <cell r="DS10">
            <v>3.8547180000000001</v>
          </cell>
          <cell r="DT10">
            <v>64.491438000000002</v>
          </cell>
          <cell r="DU10">
            <v>91.785138000000003</v>
          </cell>
          <cell r="DV10">
            <v>248.49268799999999</v>
          </cell>
          <cell r="DW10">
            <v>525.27834900000005</v>
          </cell>
          <cell r="DX10">
            <v>92.381505000000004</v>
          </cell>
          <cell r="DY10">
            <v>464.85590300000001</v>
          </cell>
          <cell r="DZ10">
            <v>351.06670400000002</v>
          </cell>
          <cell r="EA10">
            <v>456.516974</v>
          </cell>
          <cell r="EB10">
            <v>0</v>
          </cell>
          <cell r="EC10">
            <v>11.828277</v>
          </cell>
          <cell r="ED10">
            <v>0</v>
          </cell>
          <cell r="EE10">
            <v>28.151211</v>
          </cell>
          <cell r="EF10">
            <v>36.127701000000002</v>
          </cell>
          <cell r="EG10">
            <v>99.118071</v>
          </cell>
          <cell r="EH10">
            <v>0</v>
          </cell>
          <cell r="EI10">
            <v>281.29171400000001</v>
          </cell>
          <cell r="EJ10">
            <v>1844.1565519999999</v>
          </cell>
          <cell r="EK10">
            <v>11.721631</v>
          </cell>
          <cell r="EL10">
            <v>156.476269</v>
          </cell>
          <cell r="EM10">
            <v>219.37364199999999</v>
          </cell>
          <cell r="EN10">
            <v>439.821776</v>
          </cell>
          <cell r="EO10">
            <v>495.804238</v>
          </cell>
          <cell r="EP10">
            <v>349.02266700000001</v>
          </cell>
          <cell r="EQ10">
            <v>16.163302999999999</v>
          </cell>
          <cell r="ER10">
            <v>155.77302700000001</v>
          </cell>
          <cell r="ES10">
            <v>1320.9973809999999</v>
          </cell>
          <cell r="ET10">
            <v>0</v>
          </cell>
          <cell r="EU10">
            <v>40.462668000000001</v>
          </cell>
          <cell r="EV10">
            <v>60.69473</v>
          </cell>
          <cell r="EW10">
            <v>48.600923000000002</v>
          </cell>
          <cell r="EX10">
            <v>109.705915</v>
          </cell>
          <cell r="EY10">
            <v>44.046092999999999</v>
          </cell>
          <cell r="EZ10">
            <v>900.07969300000002</v>
          </cell>
          <cell r="FA10">
            <v>117.40736</v>
          </cell>
        </row>
        <row r="11">
          <cell r="A11" t="str">
            <v>37109</v>
          </cell>
          <cell r="B11" t="str">
            <v>Fondettes</v>
          </cell>
          <cell r="C11" t="str">
            <v>Tour(s)plus</v>
          </cell>
          <cell r="D11">
            <v>9876.1659999999993</v>
          </cell>
          <cell r="E11">
            <v>8918</v>
          </cell>
          <cell r="F11">
            <v>7325</v>
          </cell>
          <cell r="G11">
            <v>5844</v>
          </cell>
          <cell r="H11">
            <v>4635</v>
          </cell>
          <cell r="I11">
            <v>3441</v>
          </cell>
          <cell r="J11">
            <v>31.83</v>
          </cell>
          <cell r="K11">
            <v>595</v>
          </cell>
          <cell r="L11">
            <v>659</v>
          </cell>
          <cell r="M11">
            <v>550</v>
          </cell>
          <cell r="N11">
            <v>375</v>
          </cell>
          <cell r="O11">
            <v>370</v>
          </cell>
          <cell r="P11">
            <v>327</v>
          </cell>
          <cell r="Q11">
            <v>408</v>
          </cell>
          <cell r="R11">
            <v>293</v>
          </cell>
          <cell r="S11">
            <v>243</v>
          </cell>
          <cell r="T11">
            <v>262</v>
          </cell>
          <cell r="U11">
            <v>83</v>
          </cell>
          <cell r="V11">
            <v>88</v>
          </cell>
          <cell r="W11">
            <v>72</v>
          </cell>
          <cell r="X11">
            <v>91</v>
          </cell>
          <cell r="Y11">
            <v>87</v>
          </cell>
          <cell r="Z11">
            <v>96</v>
          </cell>
          <cell r="AA11">
            <v>74</v>
          </cell>
          <cell r="AB11">
            <v>83</v>
          </cell>
          <cell r="AC11">
            <v>92</v>
          </cell>
          <cell r="AD11">
            <v>97</v>
          </cell>
          <cell r="AE11">
            <v>44</v>
          </cell>
          <cell r="AF11">
            <v>53</v>
          </cell>
          <cell r="AG11">
            <v>38</v>
          </cell>
          <cell r="AH11">
            <v>56</v>
          </cell>
          <cell r="AI11">
            <v>47</v>
          </cell>
          <cell r="AJ11">
            <v>42</v>
          </cell>
          <cell r="AK11">
            <v>53</v>
          </cell>
          <cell r="AL11">
            <v>50</v>
          </cell>
          <cell r="AM11">
            <v>41</v>
          </cell>
          <cell r="AN11">
            <v>59</v>
          </cell>
          <cell r="AO11">
            <v>1985.1299959999999</v>
          </cell>
          <cell r="AP11">
            <v>1564.300166</v>
          </cell>
          <cell r="AQ11">
            <v>1893.1241010000001</v>
          </cell>
          <cell r="AR11">
            <v>2406.889948</v>
          </cell>
          <cell r="AS11">
            <v>1379.985068</v>
          </cell>
          <cell r="AT11">
            <v>646.73671999999999</v>
          </cell>
          <cell r="AU11">
            <v>1893</v>
          </cell>
          <cell r="AV11">
            <v>1524</v>
          </cell>
          <cell r="AW11">
            <v>2007</v>
          </cell>
          <cell r="AX11">
            <v>1968</v>
          </cell>
          <cell r="AY11">
            <v>1112</v>
          </cell>
          <cell r="AZ11">
            <v>414</v>
          </cell>
          <cell r="BA11">
            <v>4908.590228</v>
          </cell>
          <cell r="BB11">
            <v>1037.5341559999999</v>
          </cell>
          <cell r="BC11">
            <v>815.54922199999999</v>
          </cell>
          <cell r="BD11">
            <v>906.00485700000002</v>
          </cell>
          <cell r="BE11">
            <v>1180.7629489999999</v>
          </cell>
          <cell r="BF11">
            <v>690.48088800000005</v>
          </cell>
          <cell r="BG11">
            <v>266.40130499999998</v>
          </cell>
          <cell r="BH11">
            <v>11.856852</v>
          </cell>
          <cell r="BI11">
            <v>1462.083905</v>
          </cell>
          <cell r="BJ11">
            <v>2763.1248949999999</v>
          </cell>
          <cell r="BK11">
            <v>683.38142800000003</v>
          </cell>
          <cell r="BL11">
            <v>4967.5757720000001</v>
          </cell>
          <cell r="BM11">
            <v>947.59583999999995</v>
          </cell>
          <cell r="BN11">
            <v>748.750945</v>
          </cell>
          <cell r="BO11">
            <v>987.11924399999998</v>
          </cell>
          <cell r="BP11">
            <v>1226.127</v>
          </cell>
          <cell r="BQ11">
            <v>689.50418000000002</v>
          </cell>
          <cell r="BR11">
            <v>335.86029300000001</v>
          </cell>
          <cell r="BS11">
            <v>32.618271</v>
          </cell>
          <cell r="BT11">
            <v>1330.782596</v>
          </cell>
          <cell r="BU11">
            <v>2842.4424159999999</v>
          </cell>
          <cell r="BV11">
            <v>794.35076000000004</v>
          </cell>
          <cell r="BW11">
            <v>9375.2140220000001</v>
          </cell>
          <cell r="BX11">
            <v>6218.4300810000004</v>
          </cell>
          <cell r="BY11">
            <v>653.33141899999998</v>
          </cell>
          <cell r="BZ11">
            <v>1375.8900020000001</v>
          </cell>
          <cell r="CA11">
            <v>155.793398</v>
          </cell>
          <cell r="CB11">
            <v>870.00938299999996</v>
          </cell>
          <cell r="CC11">
            <v>12.844923</v>
          </cell>
          <cell r="CD11">
            <v>88.914816000000002</v>
          </cell>
          <cell r="CE11">
            <v>1491.094515</v>
          </cell>
          <cell r="CF11">
            <v>159.174857</v>
          </cell>
          <cell r="CG11">
            <v>511.82075900000001</v>
          </cell>
          <cell r="CH11">
            <v>1242.221955</v>
          </cell>
          <cell r="CI11">
            <v>109.653093</v>
          </cell>
          <cell r="CJ11">
            <v>331.54093399999999</v>
          </cell>
          <cell r="CK11">
            <v>3840.5983249999999</v>
          </cell>
          <cell r="CL11">
            <v>305.42200500000001</v>
          </cell>
          <cell r="CM11">
            <v>1319.9212219999999</v>
          </cell>
          <cell r="CN11">
            <v>2808.2157240000001</v>
          </cell>
          <cell r="CO11">
            <v>79.081463999999997</v>
          </cell>
          <cell r="CP11">
            <v>340.16960599999999</v>
          </cell>
          <cell r="CQ11">
            <v>7981.721963</v>
          </cell>
          <cell r="CR11">
            <v>23.667418999999999</v>
          </cell>
          <cell r="CS11">
            <v>260.85073399999999</v>
          </cell>
          <cell r="CT11">
            <v>1094.7826259999999</v>
          </cell>
          <cell r="CU11">
            <v>1408.9429090000001</v>
          </cell>
          <cell r="CV11">
            <v>1055.2612200000001</v>
          </cell>
          <cell r="CW11">
            <v>710.95420999999999</v>
          </cell>
          <cell r="CX11">
            <v>1972.2486100000001</v>
          </cell>
          <cell r="CY11">
            <v>1455.0142350000001</v>
          </cell>
          <cell r="CZ11">
            <v>7016</v>
          </cell>
          <cell r="DA11">
            <v>24</v>
          </cell>
          <cell r="DB11">
            <v>292</v>
          </cell>
          <cell r="DC11">
            <v>688</v>
          </cell>
          <cell r="DD11">
            <v>1224</v>
          </cell>
          <cell r="DE11">
            <v>1096</v>
          </cell>
          <cell r="DF11">
            <v>756</v>
          </cell>
          <cell r="DG11">
            <v>1432</v>
          </cell>
          <cell r="DH11">
            <v>1504</v>
          </cell>
          <cell r="DI11">
            <v>3890.526852</v>
          </cell>
          <cell r="DJ11">
            <v>15.762852000000001</v>
          </cell>
          <cell r="DK11">
            <v>213.423328</v>
          </cell>
          <cell r="DL11">
            <v>754.88621499999999</v>
          </cell>
          <cell r="DM11">
            <v>605.6875</v>
          </cell>
          <cell r="DN11">
            <v>177.90048899999999</v>
          </cell>
          <cell r="DO11">
            <v>580.52288699999997</v>
          </cell>
          <cell r="DP11">
            <v>961.63329599999997</v>
          </cell>
          <cell r="DQ11">
            <v>580.710284</v>
          </cell>
          <cell r="DR11">
            <v>4091.195111</v>
          </cell>
          <cell r="DS11">
            <v>7.9045680000000003</v>
          </cell>
          <cell r="DT11">
            <v>47.427405999999998</v>
          </cell>
          <cell r="DU11">
            <v>339.896411</v>
          </cell>
          <cell r="DV11">
            <v>803.25540899999999</v>
          </cell>
          <cell r="DW11">
            <v>877.36073099999999</v>
          </cell>
          <cell r="DX11">
            <v>130.43132299999999</v>
          </cell>
          <cell r="DY11">
            <v>1010.615314</v>
          </cell>
          <cell r="DZ11">
            <v>874.30394999999999</v>
          </cell>
          <cell r="EA11">
            <v>1371.646606</v>
          </cell>
          <cell r="EB11">
            <v>3.9060000000000001</v>
          </cell>
          <cell r="EC11">
            <v>0</v>
          </cell>
          <cell r="ED11">
            <v>11.856852</v>
          </cell>
          <cell r="EE11">
            <v>106.66538</v>
          </cell>
          <cell r="EF11">
            <v>102.807096</v>
          </cell>
          <cell r="EG11">
            <v>165.67336700000001</v>
          </cell>
          <cell r="EH11">
            <v>0</v>
          </cell>
          <cell r="EI11">
            <v>980.73791100000005</v>
          </cell>
          <cell r="EJ11">
            <v>3756.4674490000002</v>
          </cell>
          <cell r="EK11">
            <v>11.856852</v>
          </cell>
          <cell r="EL11">
            <v>201.56647599999999</v>
          </cell>
          <cell r="EM11">
            <v>865.550163</v>
          </cell>
          <cell r="EN11">
            <v>1108.61562</v>
          </cell>
          <cell r="EO11">
            <v>857.59931200000005</v>
          </cell>
          <cell r="EP11">
            <v>489.948869</v>
          </cell>
          <cell r="EQ11">
            <v>23.713702999999999</v>
          </cell>
          <cell r="ER11">
            <v>197.616454</v>
          </cell>
          <cell r="ES11">
            <v>2853.607908</v>
          </cell>
          <cell r="ET11">
            <v>7.9045680000000003</v>
          </cell>
          <cell r="EU11">
            <v>59.284258000000001</v>
          </cell>
          <cell r="EV11">
            <v>217.37561199999999</v>
          </cell>
          <cell r="EW11">
            <v>193.66190900000001</v>
          </cell>
          <cell r="EX11">
            <v>94.854811999999995</v>
          </cell>
          <cell r="EY11">
            <v>55.331974000000002</v>
          </cell>
          <cell r="EZ11">
            <v>1948.534907</v>
          </cell>
          <cell r="FA11">
            <v>276.65986900000001</v>
          </cell>
        </row>
        <row r="12">
          <cell r="A12" t="str">
            <v>37122</v>
          </cell>
          <cell r="B12" t="str">
            <v>Joué-lès-Tours</v>
          </cell>
          <cell r="C12" t="str">
            <v>Tour(s)plus</v>
          </cell>
          <cell r="D12">
            <v>36233.04477</v>
          </cell>
          <cell r="E12">
            <v>36511</v>
          </cell>
          <cell r="F12">
            <v>36798</v>
          </cell>
          <cell r="G12">
            <v>34704</v>
          </cell>
          <cell r="H12">
            <v>27450</v>
          </cell>
          <cell r="I12">
            <v>17826</v>
          </cell>
          <cell r="J12">
            <v>32.409999999999997</v>
          </cell>
          <cell r="K12">
            <v>3099</v>
          </cell>
          <cell r="L12">
            <v>4255</v>
          </cell>
          <cell r="M12">
            <v>4548</v>
          </cell>
          <cell r="N12">
            <v>4091</v>
          </cell>
          <cell r="O12">
            <v>3978</v>
          </cell>
          <cell r="P12">
            <v>1831</v>
          </cell>
          <cell r="Q12">
            <v>2104</v>
          </cell>
          <cell r="R12">
            <v>1669</v>
          </cell>
          <cell r="S12">
            <v>1204</v>
          </cell>
          <cell r="T12">
            <v>1007</v>
          </cell>
          <cell r="U12">
            <v>455</v>
          </cell>
          <cell r="V12">
            <v>450</v>
          </cell>
          <cell r="W12">
            <v>442</v>
          </cell>
          <cell r="X12">
            <v>454</v>
          </cell>
          <cell r="Y12">
            <v>434</v>
          </cell>
          <cell r="Z12">
            <v>421</v>
          </cell>
          <cell r="AA12">
            <v>486</v>
          </cell>
          <cell r="AB12">
            <v>405</v>
          </cell>
          <cell r="AC12">
            <v>457</v>
          </cell>
          <cell r="AD12">
            <v>438</v>
          </cell>
          <cell r="AE12">
            <v>271</v>
          </cell>
          <cell r="AF12">
            <v>293</v>
          </cell>
          <cell r="AG12">
            <v>284</v>
          </cell>
          <cell r="AH12">
            <v>249</v>
          </cell>
          <cell r="AI12">
            <v>305</v>
          </cell>
          <cell r="AJ12">
            <v>273</v>
          </cell>
          <cell r="AK12">
            <v>233</v>
          </cell>
          <cell r="AL12">
            <v>240</v>
          </cell>
          <cell r="AM12">
            <v>247</v>
          </cell>
          <cell r="AN12">
            <v>236</v>
          </cell>
          <cell r="AO12">
            <v>6066.8674259999998</v>
          </cell>
          <cell r="AP12">
            <v>7982.2168250000004</v>
          </cell>
          <cell r="AQ12">
            <v>6393.0787490000002</v>
          </cell>
          <cell r="AR12">
            <v>7671.3418300000003</v>
          </cell>
          <cell r="AS12">
            <v>5294.8606069999996</v>
          </cell>
          <cell r="AT12">
            <v>2824.679333</v>
          </cell>
          <cell r="AU12">
            <v>6615</v>
          </cell>
          <cell r="AV12">
            <v>8602</v>
          </cell>
          <cell r="AW12">
            <v>7229</v>
          </cell>
          <cell r="AX12">
            <v>7455</v>
          </cell>
          <cell r="AY12">
            <v>4503</v>
          </cell>
          <cell r="AZ12">
            <v>2107</v>
          </cell>
          <cell r="BA12">
            <v>17285.847426</v>
          </cell>
          <cell r="BB12">
            <v>3129.8125279999999</v>
          </cell>
          <cell r="BC12">
            <v>3932.182859</v>
          </cell>
          <cell r="BD12">
            <v>3158.416984</v>
          </cell>
          <cell r="BE12">
            <v>3501.018716</v>
          </cell>
          <cell r="BF12">
            <v>2521.6797759999999</v>
          </cell>
          <cell r="BG12">
            <v>979.51060299999995</v>
          </cell>
          <cell r="BH12">
            <v>63.225960000000001</v>
          </cell>
          <cell r="BI12">
            <v>4385.7555869999997</v>
          </cell>
          <cell r="BJ12">
            <v>10331.208155</v>
          </cell>
          <cell r="BK12">
            <v>2568.8836849999998</v>
          </cell>
          <cell r="BL12">
            <v>18947.197343</v>
          </cell>
          <cell r="BM12">
            <v>2937.0548979999999</v>
          </cell>
          <cell r="BN12">
            <v>4050.033966</v>
          </cell>
          <cell r="BO12">
            <v>3234.6617649999998</v>
          </cell>
          <cell r="BP12">
            <v>4170.3231139999998</v>
          </cell>
          <cell r="BQ12">
            <v>2773.1808310000001</v>
          </cell>
          <cell r="BR12">
            <v>1591.7328480000001</v>
          </cell>
          <cell r="BS12">
            <v>190.20992200000001</v>
          </cell>
          <cell r="BT12">
            <v>4240.8692650000003</v>
          </cell>
          <cell r="BU12">
            <v>11199.974303000001</v>
          </cell>
          <cell r="BV12">
            <v>3506.353775</v>
          </cell>
          <cell r="BW12">
            <v>34105.660107000003</v>
          </cell>
          <cell r="BX12">
            <v>21755.830653000001</v>
          </cell>
          <cell r="BY12">
            <v>4300.9292539999997</v>
          </cell>
          <cell r="BZ12">
            <v>4233.1278270000003</v>
          </cell>
          <cell r="CA12">
            <v>986.66497600000002</v>
          </cell>
          <cell r="CB12">
            <v>2207.9908169999999</v>
          </cell>
          <cell r="CC12">
            <v>37.890785999999999</v>
          </cell>
          <cell r="CD12">
            <v>583.22579499999995</v>
          </cell>
          <cell r="CE12">
            <v>3960.44958</v>
          </cell>
          <cell r="CF12">
            <v>716.41395199999999</v>
          </cell>
          <cell r="CG12">
            <v>960.38065099999994</v>
          </cell>
          <cell r="CH12">
            <v>5725.3504419999999</v>
          </cell>
          <cell r="CI12">
            <v>786.19850699999995</v>
          </cell>
          <cell r="CJ12">
            <v>2195.6275679999999</v>
          </cell>
          <cell r="CK12">
            <v>13490.86068</v>
          </cell>
          <cell r="CL12">
            <v>2208.6123080000002</v>
          </cell>
          <cell r="CM12">
            <v>4054.17326</v>
          </cell>
          <cell r="CN12">
            <v>10949.966221999999</v>
          </cell>
          <cell r="CO12">
            <v>589.70448699999997</v>
          </cell>
          <cell r="CP12">
            <v>838.71872199999996</v>
          </cell>
          <cell r="CQ12">
            <v>30159.022647999998</v>
          </cell>
          <cell r="CR12">
            <v>15.355202</v>
          </cell>
          <cell r="CS12">
            <v>598.41782899999998</v>
          </cell>
          <cell r="CT12">
            <v>1841.600363</v>
          </cell>
          <cell r="CU12">
            <v>4231.638559</v>
          </cell>
          <cell r="CV12">
            <v>5626.8977379999997</v>
          </cell>
          <cell r="CW12">
            <v>4666.8044950000003</v>
          </cell>
          <cell r="CX12">
            <v>8024.1581669999996</v>
          </cell>
          <cell r="CY12">
            <v>5154.150294</v>
          </cell>
          <cell r="CZ12">
            <v>29840</v>
          </cell>
          <cell r="DA12">
            <v>24</v>
          </cell>
          <cell r="DB12">
            <v>672</v>
          </cell>
          <cell r="DC12">
            <v>1636</v>
          </cell>
          <cell r="DD12">
            <v>3776</v>
          </cell>
          <cell r="DE12">
            <v>5696</v>
          </cell>
          <cell r="DF12">
            <v>5092</v>
          </cell>
          <cell r="DG12">
            <v>6124</v>
          </cell>
          <cell r="DH12">
            <v>6820</v>
          </cell>
          <cell r="DI12">
            <v>14142.409994</v>
          </cell>
          <cell r="DJ12">
            <v>15.355202</v>
          </cell>
          <cell r="DK12">
            <v>452.04254100000003</v>
          </cell>
          <cell r="DL12">
            <v>1239.8442190000001</v>
          </cell>
          <cell r="DM12">
            <v>2064.2903179999998</v>
          </cell>
          <cell r="DN12">
            <v>1195.014987</v>
          </cell>
          <cell r="DO12">
            <v>3713.4123669999999</v>
          </cell>
          <cell r="DP12">
            <v>3690.314179</v>
          </cell>
          <cell r="DQ12">
            <v>1772.1361790000001</v>
          </cell>
          <cell r="DR12">
            <v>16016.612654</v>
          </cell>
          <cell r="DS12">
            <v>0</v>
          </cell>
          <cell r="DT12">
            <v>146.37528800000001</v>
          </cell>
          <cell r="DU12">
            <v>601.75614299999995</v>
          </cell>
          <cell r="DV12">
            <v>2167.3482410000001</v>
          </cell>
          <cell r="DW12">
            <v>4431.8827510000001</v>
          </cell>
          <cell r="DX12">
            <v>953.39212799999996</v>
          </cell>
          <cell r="DY12">
            <v>4333.8439879999996</v>
          </cell>
          <cell r="DZ12">
            <v>3382.0141149999999</v>
          </cell>
          <cell r="EA12">
            <v>5746.4503569999997</v>
          </cell>
          <cell r="EB12">
            <v>0</v>
          </cell>
          <cell r="EC12">
            <v>19.776130999999999</v>
          </cell>
          <cell r="ED12">
            <v>64.704667000000001</v>
          </cell>
          <cell r="EE12">
            <v>506.628558</v>
          </cell>
          <cell r="EF12">
            <v>1054.1534670000001</v>
          </cell>
          <cell r="EG12">
            <v>944.73672599999998</v>
          </cell>
          <cell r="EH12">
            <v>0</v>
          </cell>
          <cell r="EI12">
            <v>3156.4508080000001</v>
          </cell>
          <cell r="EJ12">
            <v>13467.181828999999</v>
          </cell>
          <cell r="EK12">
            <v>11.062889999999999</v>
          </cell>
          <cell r="EL12">
            <v>432.99825299999998</v>
          </cell>
          <cell r="EM12">
            <v>1428.259213</v>
          </cell>
          <cell r="EN12">
            <v>3218.5502499999998</v>
          </cell>
          <cell r="EO12">
            <v>3956.0594599999999</v>
          </cell>
          <cell r="EP12">
            <v>3199.8997020000002</v>
          </cell>
          <cell r="EQ12">
            <v>111.548051</v>
          </cell>
          <cell r="ER12">
            <v>1108.8040100000001</v>
          </cell>
          <cell r="ES12">
            <v>10945.390461000001</v>
          </cell>
          <cell r="ET12">
            <v>4.2923119999999999</v>
          </cell>
          <cell r="EU12">
            <v>145.64344500000001</v>
          </cell>
          <cell r="EV12">
            <v>348.636484</v>
          </cell>
          <cell r="EW12">
            <v>506.45975099999998</v>
          </cell>
          <cell r="EX12">
            <v>616.68481099999997</v>
          </cell>
          <cell r="EY12">
            <v>522.16806799999995</v>
          </cell>
          <cell r="EZ12">
            <v>7912.6101159999998</v>
          </cell>
          <cell r="FA12">
            <v>888.89547500000003</v>
          </cell>
        </row>
        <row r="13">
          <cell r="A13" t="str">
            <v>37124</v>
          </cell>
          <cell r="B13" t="str">
            <v>Larçay</v>
          </cell>
          <cell r="C13" t="str">
            <v>CC de l'Est Tourangeau</v>
          </cell>
          <cell r="D13">
            <v>2254</v>
          </cell>
          <cell r="E13">
            <v>2035</v>
          </cell>
          <cell r="F13">
            <v>1751</v>
          </cell>
          <cell r="G13">
            <v>1412</v>
          </cell>
          <cell r="H13">
            <v>938</v>
          </cell>
          <cell r="I13">
            <v>759</v>
          </cell>
          <cell r="J13">
            <v>11.19</v>
          </cell>
          <cell r="K13">
            <v>180</v>
          </cell>
          <cell r="L13">
            <v>158</v>
          </cell>
          <cell r="M13">
            <v>141</v>
          </cell>
          <cell r="N13">
            <v>107</v>
          </cell>
          <cell r="O13">
            <v>96</v>
          </cell>
          <cell r="P13">
            <v>72</v>
          </cell>
          <cell r="Q13">
            <v>63</v>
          </cell>
          <cell r="R13">
            <v>63</v>
          </cell>
          <cell r="S13">
            <v>61</v>
          </cell>
          <cell r="T13">
            <v>51</v>
          </cell>
          <cell r="U13">
            <v>20</v>
          </cell>
          <cell r="V13">
            <v>29</v>
          </cell>
          <cell r="W13">
            <v>24</v>
          </cell>
          <cell r="X13">
            <v>30</v>
          </cell>
          <cell r="Y13">
            <v>31</v>
          </cell>
          <cell r="Z13">
            <v>24</v>
          </cell>
          <cell r="AA13">
            <v>22</v>
          </cell>
          <cell r="AB13">
            <v>29</v>
          </cell>
          <cell r="AC13">
            <v>20</v>
          </cell>
          <cell r="AD13">
            <v>11</v>
          </cell>
          <cell r="AE13">
            <v>5</v>
          </cell>
          <cell r="AF13">
            <v>7</v>
          </cell>
          <cell r="AG13">
            <v>7</v>
          </cell>
          <cell r="AH13">
            <v>7</v>
          </cell>
          <cell r="AI13">
            <v>15</v>
          </cell>
          <cell r="AJ13">
            <v>17</v>
          </cell>
          <cell r="AK13">
            <v>11</v>
          </cell>
          <cell r="AL13">
            <v>9</v>
          </cell>
          <cell r="AM13">
            <v>6</v>
          </cell>
          <cell r="AN13">
            <v>7</v>
          </cell>
          <cell r="AO13">
            <v>463.25734</v>
          </cell>
          <cell r="AP13">
            <v>306.56735800000001</v>
          </cell>
          <cell r="AQ13">
            <v>491.48100199999999</v>
          </cell>
          <cell r="AR13">
            <v>595.61658</v>
          </cell>
          <cell r="AS13">
            <v>308.51381700000002</v>
          </cell>
          <cell r="AT13">
            <v>88.563902999999996</v>
          </cell>
          <cell r="AU13">
            <v>406</v>
          </cell>
          <cell r="AV13">
            <v>375</v>
          </cell>
          <cell r="AW13">
            <v>495</v>
          </cell>
          <cell r="AX13">
            <v>512</v>
          </cell>
          <cell r="AY13">
            <v>184</v>
          </cell>
          <cell r="AZ13">
            <v>63</v>
          </cell>
          <cell r="BA13">
            <v>1111.4283250000001</v>
          </cell>
          <cell r="BB13">
            <v>230.65544</v>
          </cell>
          <cell r="BC13">
            <v>161.55613099999999</v>
          </cell>
          <cell r="BD13">
            <v>241.36096699999999</v>
          </cell>
          <cell r="BE13">
            <v>292.94214199999999</v>
          </cell>
          <cell r="BF13">
            <v>152.79706400000001</v>
          </cell>
          <cell r="BG13">
            <v>32.116579999999999</v>
          </cell>
          <cell r="BH13">
            <v>0</v>
          </cell>
          <cell r="BI13">
            <v>304.62089800000001</v>
          </cell>
          <cell r="BJ13">
            <v>695.85924</v>
          </cell>
          <cell r="BK13">
            <v>110.948187</v>
          </cell>
          <cell r="BL13">
            <v>1142.5716749999999</v>
          </cell>
          <cell r="BM13">
            <v>232.6019</v>
          </cell>
          <cell r="BN13">
            <v>145.01122599999999</v>
          </cell>
          <cell r="BO13">
            <v>250.120035</v>
          </cell>
          <cell r="BP13">
            <v>302.67443900000001</v>
          </cell>
          <cell r="BQ13">
            <v>155.71675300000001</v>
          </cell>
          <cell r="BR13">
            <v>53.527633999999999</v>
          </cell>
          <cell r="BS13">
            <v>2.919689</v>
          </cell>
          <cell r="BT13">
            <v>301.70120900000001</v>
          </cell>
          <cell r="BU13">
            <v>704.61830699999996</v>
          </cell>
          <cell r="BV13">
            <v>136.25215900000001</v>
          </cell>
          <cell r="BW13">
            <v>2098.2832469999998</v>
          </cell>
          <cell r="BX13">
            <v>1469.576857</v>
          </cell>
          <cell r="BY13">
            <v>69.099309000000005</v>
          </cell>
          <cell r="BZ13">
            <v>366.907599</v>
          </cell>
          <cell r="CA13">
            <v>23.357513000000001</v>
          </cell>
          <cell r="CB13">
            <v>155.71675300000001</v>
          </cell>
          <cell r="CC13">
            <v>0</v>
          </cell>
          <cell r="CD13">
            <v>13.625216</v>
          </cell>
          <cell r="CE13">
            <v>308.51381700000002</v>
          </cell>
          <cell r="CF13">
            <v>13.625216</v>
          </cell>
          <cell r="CG13">
            <v>106.082038</v>
          </cell>
          <cell r="CH13">
            <v>219.94991400000001</v>
          </cell>
          <cell r="CI13">
            <v>5.839378</v>
          </cell>
          <cell r="CJ13">
            <v>48.661484999999999</v>
          </cell>
          <cell r="CK13">
            <v>950.84542299999998</v>
          </cell>
          <cell r="CL13">
            <v>41.848877000000002</v>
          </cell>
          <cell r="CM13">
            <v>348.41623499999997</v>
          </cell>
          <cell r="CN13">
            <v>619.94732299999998</v>
          </cell>
          <cell r="CO13">
            <v>7.785838</v>
          </cell>
          <cell r="CP13">
            <v>56.447322999999997</v>
          </cell>
          <cell r="CQ13">
            <v>1779.063903</v>
          </cell>
          <cell r="CR13">
            <v>0</v>
          </cell>
          <cell r="CS13">
            <v>50.607945000000001</v>
          </cell>
          <cell r="CT13">
            <v>194.64594099999999</v>
          </cell>
          <cell r="CU13">
            <v>350.36269399999998</v>
          </cell>
          <cell r="CV13">
            <v>330.8981</v>
          </cell>
          <cell r="CW13">
            <v>198.53886</v>
          </cell>
          <cell r="CX13">
            <v>416.54231399999998</v>
          </cell>
          <cell r="CY13">
            <v>237.46804800000001</v>
          </cell>
          <cell r="CZ13">
            <v>1612</v>
          </cell>
          <cell r="DA13">
            <v>8</v>
          </cell>
          <cell r="DB13">
            <v>76</v>
          </cell>
          <cell r="DC13">
            <v>148</v>
          </cell>
          <cell r="DD13">
            <v>276</v>
          </cell>
          <cell r="DE13">
            <v>284</v>
          </cell>
          <cell r="DF13">
            <v>252</v>
          </cell>
          <cell r="DG13">
            <v>264</v>
          </cell>
          <cell r="DH13">
            <v>304</v>
          </cell>
          <cell r="DI13">
            <v>879.79965500000003</v>
          </cell>
          <cell r="DJ13">
            <v>0</v>
          </cell>
          <cell r="DK13">
            <v>31.143350999999999</v>
          </cell>
          <cell r="DL13">
            <v>136.25215900000001</v>
          </cell>
          <cell r="DM13">
            <v>155.71675300000001</v>
          </cell>
          <cell r="DN13">
            <v>54.500864</v>
          </cell>
          <cell r="DO13">
            <v>171.28842800000001</v>
          </cell>
          <cell r="DP13">
            <v>214.110535</v>
          </cell>
          <cell r="DQ13">
            <v>116.787565</v>
          </cell>
          <cell r="DR13">
            <v>899.26424899999995</v>
          </cell>
          <cell r="DS13">
            <v>0</v>
          </cell>
          <cell r="DT13">
            <v>19.464594000000002</v>
          </cell>
          <cell r="DU13">
            <v>58.393782000000002</v>
          </cell>
          <cell r="DV13">
            <v>194.64594099999999</v>
          </cell>
          <cell r="DW13">
            <v>276.39723700000002</v>
          </cell>
          <cell r="DX13">
            <v>27.250432</v>
          </cell>
          <cell r="DY13">
            <v>202.43177900000001</v>
          </cell>
          <cell r="DZ13">
            <v>120.68048400000001</v>
          </cell>
          <cell r="EA13">
            <v>218.003454</v>
          </cell>
          <cell r="EB13">
            <v>0</v>
          </cell>
          <cell r="EC13">
            <v>0</v>
          </cell>
          <cell r="ED13">
            <v>0</v>
          </cell>
          <cell r="EE13">
            <v>7.785838</v>
          </cell>
          <cell r="EF13">
            <v>11.678756</v>
          </cell>
          <cell r="EG13">
            <v>38.929188000000003</v>
          </cell>
          <cell r="EH13">
            <v>0</v>
          </cell>
          <cell r="EI13">
            <v>159.60967199999999</v>
          </cell>
          <cell r="EJ13">
            <v>910.94300499999997</v>
          </cell>
          <cell r="EK13">
            <v>0</v>
          </cell>
          <cell r="EL13">
            <v>42.822107000000003</v>
          </cell>
          <cell r="EM13">
            <v>147.930915</v>
          </cell>
          <cell r="EN13">
            <v>295.861831</v>
          </cell>
          <cell r="EO13">
            <v>256.93264199999999</v>
          </cell>
          <cell r="EP13">
            <v>132.35924</v>
          </cell>
          <cell r="EQ13">
            <v>0</v>
          </cell>
          <cell r="ER13">
            <v>35.036268999999997</v>
          </cell>
          <cell r="ES13">
            <v>650.11744399999998</v>
          </cell>
          <cell r="ET13">
            <v>0</v>
          </cell>
          <cell r="EU13">
            <v>7.785838</v>
          </cell>
          <cell r="EV13">
            <v>46.715026000000002</v>
          </cell>
          <cell r="EW13">
            <v>46.715026000000002</v>
          </cell>
          <cell r="EX13">
            <v>62.286701000000001</v>
          </cell>
          <cell r="EY13">
            <v>27.250432</v>
          </cell>
          <cell r="EZ13">
            <v>416.54231399999998</v>
          </cell>
          <cell r="FA13">
            <v>42.822107000000003</v>
          </cell>
        </row>
        <row r="14">
          <cell r="A14" t="str">
            <v>37139</v>
          </cell>
          <cell r="B14" t="str">
            <v>Luynes</v>
          </cell>
          <cell r="C14" t="str">
            <v>Tour(s)plus</v>
          </cell>
          <cell r="D14">
            <v>5002</v>
          </cell>
          <cell r="E14">
            <v>4502</v>
          </cell>
          <cell r="F14">
            <v>4128</v>
          </cell>
          <cell r="G14">
            <v>3834</v>
          </cell>
          <cell r="H14">
            <v>2614</v>
          </cell>
          <cell r="I14">
            <v>1948</v>
          </cell>
          <cell r="J14">
            <v>34.01</v>
          </cell>
          <cell r="K14">
            <v>430</v>
          </cell>
          <cell r="L14">
            <v>415</v>
          </cell>
          <cell r="M14">
            <v>376</v>
          </cell>
          <cell r="N14">
            <v>331</v>
          </cell>
          <cell r="O14">
            <v>225</v>
          </cell>
          <cell r="P14">
            <v>461</v>
          </cell>
          <cell r="Q14">
            <v>590</v>
          </cell>
          <cell r="R14">
            <v>570</v>
          </cell>
          <cell r="S14">
            <v>517</v>
          </cell>
          <cell r="T14">
            <v>302</v>
          </cell>
          <cell r="U14">
            <v>39</v>
          </cell>
          <cell r="V14">
            <v>45</v>
          </cell>
          <cell r="W14">
            <v>55</v>
          </cell>
          <cell r="X14">
            <v>65</v>
          </cell>
          <cell r="Y14">
            <v>64</v>
          </cell>
          <cell r="Z14">
            <v>47</v>
          </cell>
          <cell r="AA14">
            <v>63</v>
          </cell>
          <cell r="AB14">
            <v>65</v>
          </cell>
          <cell r="AC14">
            <v>71</v>
          </cell>
          <cell r="AD14">
            <v>54</v>
          </cell>
          <cell r="AE14">
            <v>81</v>
          </cell>
          <cell r="AF14">
            <v>60</v>
          </cell>
          <cell r="AG14">
            <v>69</v>
          </cell>
          <cell r="AH14">
            <v>69</v>
          </cell>
          <cell r="AI14">
            <v>75</v>
          </cell>
          <cell r="AJ14">
            <v>58</v>
          </cell>
          <cell r="AK14">
            <v>60</v>
          </cell>
          <cell r="AL14">
            <v>69</v>
          </cell>
          <cell r="AM14">
            <v>61</v>
          </cell>
          <cell r="AN14">
            <v>75</v>
          </cell>
          <cell r="AO14">
            <v>1067.6544919999999</v>
          </cell>
          <cell r="AP14">
            <v>716.79746</v>
          </cell>
          <cell r="AQ14">
            <v>1169.6030619999999</v>
          </cell>
          <cell r="AR14">
            <v>1010.619922</v>
          </cell>
          <cell r="AS14">
            <v>537.979783</v>
          </cell>
          <cell r="AT14">
            <v>499.345281</v>
          </cell>
          <cell r="AU14">
            <v>919</v>
          </cell>
          <cell r="AV14">
            <v>759</v>
          </cell>
          <cell r="AW14">
            <v>1026</v>
          </cell>
          <cell r="AX14">
            <v>873</v>
          </cell>
          <cell r="AY14">
            <v>484</v>
          </cell>
          <cell r="AZ14">
            <v>441</v>
          </cell>
          <cell r="BA14">
            <v>2412.5625679999998</v>
          </cell>
          <cell r="BB14">
            <v>547.49259099999995</v>
          </cell>
          <cell r="BC14">
            <v>370.89328499999999</v>
          </cell>
          <cell r="BD14">
            <v>573.956862</v>
          </cell>
          <cell r="BE14">
            <v>493.26062100000001</v>
          </cell>
          <cell r="BF14">
            <v>268.82721700000002</v>
          </cell>
          <cell r="BG14">
            <v>135.01751300000001</v>
          </cell>
          <cell r="BH14">
            <v>23.114478999999999</v>
          </cell>
          <cell r="BI14">
            <v>724.61922800000002</v>
          </cell>
          <cell r="BJ14">
            <v>1358.787077</v>
          </cell>
          <cell r="BK14">
            <v>329.15626200000003</v>
          </cell>
          <cell r="BL14">
            <v>2589.4374320000002</v>
          </cell>
          <cell r="BM14">
            <v>520.16190099999994</v>
          </cell>
          <cell r="BN14">
            <v>345.90417500000001</v>
          </cell>
          <cell r="BO14">
            <v>595.64620000000002</v>
          </cell>
          <cell r="BP14">
            <v>517.35930099999996</v>
          </cell>
          <cell r="BQ14">
            <v>269.15256699999998</v>
          </cell>
          <cell r="BR14">
            <v>232.97648599999999</v>
          </cell>
          <cell r="BS14">
            <v>108.23680299999999</v>
          </cell>
          <cell r="BT14">
            <v>667.22214099999997</v>
          </cell>
          <cell r="BU14">
            <v>1414.8922660000001</v>
          </cell>
          <cell r="BV14">
            <v>507.32302499999997</v>
          </cell>
          <cell r="BW14">
            <v>4648.4316950000002</v>
          </cell>
          <cell r="BX14">
            <v>3024.6026379999998</v>
          </cell>
          <cell r="BY14">
            <v>410.54651999999999</v>
          </cell>
          <cell r="BZ14">
            <v>748.89426800000001</v>
          </cell>
          <cell r="CA14">
            <v>74.801992999999996</v>
          </cell>
          <cell r="CB14">
            <v>342.17006199999997</v>
          </cell>
          <cell r="CC14">
            <v>10.059096</v>
          </cell>
          <cell r="CD14">
            <v>37.357118</v>
          </cell>
          <cell r="CE14">
            <v>718.11102500000004</v>
          </cell>
          <cell r="CF14">
            <v>97.642713000000001</v>
          </cell>
          <cell r="CG14">
            <v>237.61677399999999</v>
          </cell>
          <cell r="CH14">
            <v>513.58711600000004</v>
          </cell>
          <cell r="CI14">
            <v>46.415720999999998</v>
          </cell>
          <cell r="CJ14">
            <v>133.67499599999999</v>
          </cell>
          <cell r="CK14">
            <v>2072.6118609999999</v>
          </cell>
          <cell r="CL14">
            <v>238.92574999999999</v>
          </cell>
          <cell r="CM14">
            <v>752.28097500000001</v>
          </cell>
          <cell r="CN14">
            <v>1348.1465310000001</v>
          </cell>
          <cell r="CO14">
            <v>27.562335999999998</v>
          </cell>
          <cell r="CP14">
            <v>89.709791999999993</v>
          </cell>
          <cell r="CQ14">
            <v>3853.9733580000002</v>
          </cell>
          <cell r="CR14">
            <v>12.093211</v>
          </cell>
          <cell r="CS14">
            <v>117.455681</v>
          </cell>
          <cell r="CT14">
            <v>367.91088999999999</v>
          </cell>
          <cell r="CU14">
            <v>684.27554299999997</v>
          </cell>
          <cell r="CV14">
            <v>741.49215900000002</v>
          </cell>
          <cell r="CW14">
            <v>442.31084900000002</v>
          </cell>
          <cell r="CX14">
            <v>978.88084500000002</v>
          </cell>
          <cell r="CY14">
            <v>509.55417999999997</v>
          </cell>
          <cell r="CZ14">
            <v>3532</v>
          </cell>
          <cell r="DA14">
            <v>8</v>
          </cell>
          <cell r="DB14">
            <v>100</v>
          </cell>
          <cell r="DC14">
            <v>256</v>
          </cell>
          <cell r="DD14">
            <v>512</v>
          </cell>
          <cell r="DE14">
            <v>708</v>
          </cell>
          <cell r="DF14">
            <v>412</v>
          </cell>
          <cell r="DG14">
            <v>896</v>
          </cell>
          <cell r="DH14">
            <v>640</v>
          </cell>
          <cell r="DI14">
            <v>1776.052649</v>
          </cell>
          <cell r="DJ14">
            <v>4.0310699999999997</v>
          </cell>
          <cell r="DK14">
            <v>97.199528000000001</v>
          </cell>
          <cell r="DL14">
            <v>286.860725</v>
          </cell>
          <cell r="DM14">
            <v>299.30892899999998</v>
          </cell>
          <cell r="DN14">
            <v>194.55126100000001</v>
          </cell>
          <cell r="DO14">
            <v>357.10388799999998</v>
          </cell>
          <cell r="DP14">
            <v>379.59224999999998</v>
          </cell>
          <cell r="DQ14">
            <v>157.40499800000001</v>
          </cell>
          <cell r="DR14">
            <v>2077.920709</v>
          </cell>
          <cell r="DS14">
            <v>8.0621410000000004</v>
          </cell>
          <cell r="DT14">
            <v>20.256152</v>
          </cell>
          <cell r="DU14">
            <v>81.050166000000004</v>
          </cell>
          <cell r="DV14">
            <v>384.96661399999999</v>
          </cell>
          <cell r="DW14">
            <v>546.94089799999995</v>
          </cell>
          <cell r="DX14">
            <v>85.206962000000004</v>
          </cell>
          <cell r="DY14">
            <v>599.28859499999999</v>
          </cell>
          <cell r="DZ14">
            <v>352.149181</v>
          </cell>
          <cell r="EA14">
            <v>448.39907299999999</v>
          </cell>
          <cell r="EB14">
            <v>0</v>
          </cell>
          <cell r="EC14">
            <v>0</v>
          </cell>
          <cell r="ED14">
            <v>0</v>
          </cell>
          <cell r="EE14">
            <v>32.374447000000004</v>
          </cell>
          <cell r="EF14">
            <v>56.712302000000001</v>
          </cell>
          <cell r="EG14">
            <v>68.931555000000003</v>
          </cell>
          <cell r="EH14">
            <v>0</v>
          </cell>
          <cell r="EI14">
            <v>290.38076799999999</v>
          </cell>
          <cell r="EJ14">
            <v>2076.7598010000002</v>
          </cell>
          <cell r="EK14">
            <v>12.093211</v>
          </cell>
          <cell r="EL14">
            <v>105.211502</v>
          </cell>
          <cell r="EM14">
            <v>271.03434800000002</v>
          </cell>
          <cell r="EN14">
            <v>578.40921500000002</v>
          </cell>
          <cell r="EO14">
            <v>631.69619299999999</v>
          </cell>
          <cell r="EP14">
            <v>344.78398900000002</v>
          </cell>
          <cell r="EQ14">
            <v>28.494501</v>
          </cell>
          <cell r="ER14">
            <v>105.03684199999999</v>
          </cell>
          <cell r="ES14">
            <v>1328.8144850000001</v>
          </cell>
          <cell r="ET14">
            <v>0</v>
          </cell>
          <cell r="EU14">
            <v>12.244179000000001</v>
          </cell>
          <cell r="EV14">
            <v>96.876542000000001</v>
          </cell>
          <cell r="EW14">
            <v>73.491881000000006</v>
          </cell>
          <cell r="EX14">
            <v>53.083663000000001</v>
          </cell>
          <cell r="EY14">
            <v>28.595305</v>
          </cell>
          <cell r="EZ14">
            <v>950.38634500000001</v>
          </cell>
          <cell r="FA14">
            <v>114.13656899999999</v>
          </cell>
        </row>
        <row r="15">
          <cell r="A15" t="str">
            <v>37151</v>
          </cell>
          <cell r="B15" t="str">
            <v>La Membrolle-sur-Choisille</v>
          </cell>
          <cell r="C15" t="str">
            <v>Tour(s)plus</v>
          </cell>
          <cell r="D15">
            <v>3049</v>
          </cell>
          <cell r="E15">
            <v>2926</v>
          </cell>
          <cell r="F15">
            <v>2644</v>
          </cell>
          <cell r="G15">
            <v>2569</v>
          </cell>
          <cell r="H15">
            <v>1885</v>
          </cell>
          <cell r="I15">
            <v>1217</v>
          </cell>
          <cell r="J15">
            <v>6.87</v>
          </cell>
          <cell r="K15">
            <v>186</v>
          </cell>
          <cell r="L15">
            <v>211</v>
          </cell>
          <cell r="M15">
            <v>175</v>
          </cell>
          <cell r="N15">
            <v>181</v>
          </cell>
          <cell r="O15">
            <v>137</v>
          </cell>
          <cell r="P15">
            <v>222</v>
          </cell>
          <cell r="Q15">
            <v>253</v>
          </cell>
          <cell r="R15">
            <v>104</v>
          </cell>
          <cell r="S15">
            <v>85</v>
          </cell>
          <cell r="T15">
            <v>80</v>
          </cell>
          <cell r="U15">
            <v>29</v>
          </cell>
          <cell r="V15">
            <v>21</v>
          </cell>
          <cell r="W15">
            <v>17</v>
          </cell>
          <cell r="X15">
            <v>27</v>
          </cell>
          <cell r="Y15">
            <v>20</v>
          </cell>
          <cell r="Z15">
            <v>27</v>
          </cell>
          <cell r="AA15">
            <v>30</v>
          </cell>
          <cell r="AB15">
            <v>36</v>
          </cell>
          <cell r="AC15">
            <v>29</v>
          </cell>
          <cell r="AD15">
            <v>34</v>
          </cell>
          <cell r="AE15">
            <v>35</v>
          </cell>
          <cell r="AF15">
            <v>40</v>
          </cell>
          <cell r="AG15">
            <v>29</v>
          </cell>
          <cell r="AH15">
            <v>40</v>
          </cell>
          <cell r="AI15">
            <v>32</v>
          </cell>
          <cell r="AJ15">
            <v>34</v>
          </cell>
          <cell r="AK15">
            <v>21</v>
          </cell>
          <cell r="AL15">
            <v>25</v>
          </cell>
          <cell r="AM15">
            <v>41</v>
          </cell>
          <cell r="AN15">
            <v>43</v>
          </cell>
          <cell r="AO15">
            <v>522.927594</v>
          </cell>
          <cell r="AP15">
            <v>396.772424</v>
          </cell>
          <cell r="AQ15">
            <v>679.89539600000001</v>
          </cell>
          <cell r="AR15">
            <v>756.83232099999998</v>
          </cell>
          <cell r="AS15">
            <v>448.70627200000001</v>
          </cell>
          <cell r="AT15">
            <v>243.865993</v>
          </cell>
          <cell r="AU15">
            <v>530</v>
          </cell>
          <cell r="AV15">
            <v>470</v>
          </cell>
          <cell r="AW15">
            <v>647</v>
          </cell>
          <cell r="AX15">
            <v>671</v>
          </cell>
          <cell r="AY15">
            <v>387</v>
          </cell>
          <cell r="AZ15">
            <v>221</v>
          </cell>
          <cell r="BA15">
            <v>1553.2260510000001</v>
          </cell>
          <cell r="BB15">
            <v>296.60415699999999</v>
          </cell>
          <cell r="BC15">
            <v>214.86793700000001</v>
          </cell>
          <cell r="BD15">
            <v>348.12075900000002</v>
          </cell>
          <cell r="BE15">
            <v>381.96415400000001</v>
          </cell>
          <cell r="BF15">
            <v>225.28659099999999</v>
          </cell>
          <cell r="BG15">
            <v>79.336691000000002</v>
          </cell>
          <cell r="BH15">
            <v>7.0457619999999999</v>
          </cell>
          <cell r="BI15">
            <v>408.30495400000001</v>
          </cell>
          <cell r="BJ15">
            <v>927.923813</v>
          </cell>
          <cell r="BK15">
            <v>216.99728400000001</v>
          </cell>
          <cell r="BL15">
            <v>1495.7739489999999</v>
          </cell>
          <cell r="BM15">
            <v>226.32343599999999</v>
          </cell>
          <cell r="BN15">
            <v>181.90448699999999</v>
          </cell>
          <cell r="BO15">
            <v>331.77463699999998</v>
          </cell>
          <cell r="BP15">
            <v>374.86816700000003</v>
          </cell>
          <cell r="BQ15">
            <v>223.419681</v>
          </cell>
          <cell r="BR15">
            <v>123.207837</v>
          </cell>
          <cell r="BS15">
            <v>34.275703</v>
          </cell>
          <cell r="BT15">
            <v>307.85790200000002</v>
          </cell>
          <cell r="BU15">
            <v>891.70681200000001</v>
          </cell>
          <cell r="BV15">
            <v>296.20923499999998</v>
          </cell>
          <cell r="BW15">
            <v>2904.8952340000001</v>
          </cell>
          <cell r="BX15">
            <v>1745.85032</v>
          </cell>
          <cell r="BY15">
            <v>156.56776300000001</v>
          </cell>
          <cell r="BZ15">
            <v>606.30766200000005</v>
          </cell>
          <cell r="CA15">
            <v>67.005919000000006</v>
          </cell>
          <cell r="CB15">
            <v>305.62007799999998</v>
          </cell>
          <cell r="CC15">
            <v>4.7889730000000004</v>
          </cell>
          <cell r="CD15">
            <v>18.754518999999998</v>
          </cell>
          <cell r="CE15">
            <v>378.82282800000002</v>
          </cell>
          <cell r="CF15">
            <v>37.207942000000003</v>
          </cell>
          <cell r="CG15">
            <v>152.764636</v>
          </cell>
          <cell r="CH15">
            <v>303.06644799999998</v>
          </cell>
          <cell r="CI15">
            <v>17.671775</v>
          </cell>
          <cell r="CJ15">
            <v>116.27333</v>
          </cell>
          <cell r="CK15">
            <v>1251.6715300000001</v>
          </cell>
          <cell r="CL15">
            <v>82.339489</v>
          </cell>
          <cell r="CM15">
            <v>563.97267199999999</v>
          </cell>
          <cell r="CN15">
            <v>971.334428</v>
          </cell>
          <cell r="CO15">
            <v>19.348557</v>
          </cell>
          <cell r="CP15">
            <v>169.46651399999999</v>
          </cell>
          <cell r="CQ15">
            <v>2525.4784519999998</v>
          </cell>
          <cell r="CR15">
            <v>8.1830479999999994</v>
          </cell>
          <cell r="CS15">
            <v>131.51870299999999</v>
          </cell>
          <cell r="CT15">
            <v>251.483239</v>
          </cell>
          <cell r="CU15">
            <v>387.72028799999998</v>
          </cell>
          <cell r="CV15">
            <v>406.240949</v>
          </cell>
          <cell r="CW15">
            <v>280.76500600000003</v>
          </cell>
          <cell r="CX15">
            <v>594.84750299999996</v>
          </cell>
          <cell r="CY15">
            <v>464.71971500000001</v>
          </cell>
          <cell r="CZ15">
            <v>2360</v>
          </cell>
          <cell r="DA15">
            <v>8</v>
          </cell>
          <cell r="DB15">
            <v>128</v>
          </cell>
          <cell r="DC15">
            <v>172</v>
          </cell>
          <cell r="DD15">
            <v>396</v>
          </cell>
          <cell r="DE15">
            <v>416</v>
          </cell>
          <cell r="DF15">
            <v>264</v>
          </cell>
          <cell r="DG15">
            <v>540</v>
          </cell>
          <cell r="DH15">
            <v>436</v>
          </cell>
          <cell r="DI15">
            <v>1203.4199189999999</v>
          </cell>
          <cell r="DJ15">
            <v>8.1830479999999994</v>
          </cell>
          <cell r="DK15">
            <v>91.830268000000004</v>
          </cell>
          <cell r="DL15">
            <v>183.75475499999999</v>
          </cell>
          <cell r="DM15">
            <v>175.576526</v>
          </cell>
          <cell r="DN15">
            <v>92.599029000000002</v>
          </cell>
          <cell r="DO15">
            <v>244.29054400000001</v>
          </cell>
          <cell r="DP15">
            <v>264.73210799999998</v>
          </cell>
          <cell r="DQ15">
            <v>142.453642</v>
          </cell>
          <cell r="DR15">
            <v>1322.058532</v>
          </cell>
          <cell r="DS15">
            <v>0</v>
          </cell>
          <cell r="DT15">
            <v>39.688436000000003</v>
          </cell>
          <cell r="DU15">
            <v>67.728483999999995</v>
          </cell>
          <cell r="DV15">
            <v>212.14376200000001</v>
          </cell>
          <cell r="DW15">
            <v>313.64192100000002</v>
          </cell>
          <cell r="DX15">
            <v>36.474462000000003</v>
          </cell>
          <cell r="DY15">
            <v>330.11539499999998</v>
          </cell>
          <cell r="DZ15">
            <v>322.26607300000001</v>
          </cell>
          <cell r="EA15">
            <v>309.07818800000001</v>
          </cell>
          <cell r="EB15">
            <v>0</v>
          </cell>
          <cell r="EC15">
            <v>0</v>
          </cell>
          <cell r="ED15">
            <v>0</v>
          </cell>
          <cell r="EE15">
            <v>28.564074000000002</v>
          </cell>
          <cell r="EF15">
            <v>36.390774</v>
          </cell>
          <cell r="EG15">
            <v>31.850715999999998</v>
          </cell>
          <cell r="EH15">
            <v>0</v>
          </cell>
          <cell r="EI15">
            <v>212.27262300000001</v>
          </cell>
          <cell r="EJ15">
            <v>1276.5129509999999</v>
          </cell>
          <cell r="EK15">
            <v>8.1830479999999994</v>
          </cell>
          <cell r="EL15">
            <v>79.386320999999995</v>
          </cell>
          <cell r="EM15">
            <v>215.01268400000001</v>
          </cell>
          <cell r="EN15">
            <v>326.41694699999999</v>
          </cell>
          <cell r="EO15">
            <v>308.37419199999999</v>
          </cell>
          <cell r="EP15">
            <v>212.17374799999999</v>
          </cell>
          <cell r="EQ15">
            <v>4.0921609999999999</v>
          </cell>
          <cell r="ER15">
            <v>122.873848</v>
          </cell>
          <cell r="ES15">
            <v>939.88731299999995</v>
          </cell>
          <cell r="ET15">
            <v>0</v>
          </cell>
          <cell r="EU15">
            <v>52.132382</v>
          </cell>
          <cell r="EV15">
            <v>36.470554999999997</v>
          </cell>
          <cell r="EW15">
            <v>32.739266000000001</v>
          </cell>
          <cell r="EX15">
            <v>61.475983999999997</v>
          </cell>
          <cell r="EY15">
            <v>36.740541</v>
          </cell>
          <cell r="EZ15">
            <v>590.75534200000004</v>
          </cell>
          <cell r="FA15">
            <v>129.57324299999999</v>
          </cell>
        </row>
        <row r="16">
          <cell r="A16" t="str">
            <v>37152</v>
          </cell>
          <cell r="B16" t="str">
            <v>Mettray</v>
          </cell>
          <cell r="C16" t="str">
            <v>Tour(s)plus</v>
          </cell>
          <cell r="D16">
            <v>1882</v>
          </cell>
          <cell r="E16">
            <v>2027</v>
          </cell>
          <cell r="F16">
            <v>1916</v>
          </cell>
          <cell r="G16">
            <v>1368</v>
          </cell>
          <cell r="H16">
            <v>1083</v>
          </cell>
          <cell r="I16">
            <v>1021</v>
          </cell>
          <cell r="J16">
            <v>10.34</v>
          </cell>
          <cell r="K16">
            <v>131</v>
          </cell>
          <cell r="L16">
            <v>218</v>
          </cell>
          <cell r="M16">
            <v>199</v>
          </cell>
          <cell r="N16">
            <v>102</v>
          </cell>
          <cell r="O16">
            <v>99</v>
          </cell>
          <cell r="P16">
            <v>69</v>
          </cell>
          <cell r="Q16">
            <v>80</v>
          </cell>
          <cell r="R16">
            <v>76</v>
          </cell>
          <cell r="S16">
            <v>83</v>
          </cell>
          <cell r="T16">
            <v>74</v>
          </cell>
          <cell r="U16">
            <v>22</v>
          </cell>
          <cell r="V16">
            <v>15</v>
          </cell>
          <cell r="W16">
            <v>22</v>
          </cell>
          <cell r="X16">
            <v>18</v>
          </cell>
          <cell r="Y16">
            <v>13</v>
          </cell>
          <cell r="Z16">
            <v>21</v>
          </cell>
          <cell r="AA16">
            <v>15</v>
          </cell>
          <cell r="AB16">
            <v>17</v>
          </cell>
          <cell r="AC16">
            <v>25</v>
          </cell>
          <cell r="AD16">
            <v>11</v>
          </cell>
          <cell r="AE16">
            <v>12</v>
          </cell>
          <cell r="AF16">
            <v>9</v>
          </cell>
          <cell r="AG16">
            <v>6</v>
          </cell>
          <cell r="AH16">
            <v>13</v>
          </cell>
          <cell r="AI16">
            <v>7</v>
          </cell>
          <cell r="AJ16">
            <v>13</v>
          </cell>
          <cell r="AK16">
            <v>12</v>
          </cell>
          <cell r="AL16">
            <v>10</v>
          </cell>
          <cell r="AM16">
            <v>8</v>
          </cell>
          <cell r="AN16">
            <v>6</v>
          </cell>
          <cell r="AO16">
            <v>313.12776100000002</v>
          </cell>
          <cell r="AP16">
            <v>336.28850899999998</v>
          </cell>
          <cell r="AQ16">
            <v>376.95702199999999</v>
          </cell>
          <cell r="AR16">
            <v>520.09931300000005</v>
          </cell>
          <cell r="AS16">
            <v>232.83631099999999</v>
          </cell>
          <cell r="AT16">
            <v>102.691084</v>
          </cell>
          <cell r="AU16">
            <v>429</v>
          </cell>
          <cell r="AV16">
            <v>366</v>
          </cell>
          <cell r="AW16">
            <v>514</v>
          </cell>
          <cell r="AX16">
            <v>441</v>
          </cell>
          <cell r="AY16">
            <v>198</v>
          </cell>
          <cell r="AZ16">
            <v>79</v>
          </cell>
          <cell r="BA16">
            <v>932.46781699999997</v>
          </cell>
          <cell r="BB16">
            <v>151.55635599999999</v>
          </cell>
          <cell r="BC16">
            <v>185.17125300000001</v>
          </cell>
          <cell r="BD16">
            <v>174.99699100000001</v>
          </cell>
          <cell r="BE16">
            <v>263.26622800000001</v>
          </cell>
          <cell r="BF16">
            <v>108.16794400000001</v>
          </cell>
          <cell r="BG16">
            <v>48.265163000000001</v>
          </cell>
          <cell r="BH16">
            <v>1.043884</v>
          </cell>
          <cell r="BI16">
            <v>244.05233200000001</v>
          </cell>
          <cell r="BJ16">
            <v>580.56088799999998</v>
          </cell>
          <cell r="BK16">
            <v>107.854597</v>
          </cell>
          <cell r="BL16">
            <v>949.53218300000003</v>
          </cell>
          <cell r="BM16">
            <v>161.571405</v>
          </cell>
          <cell r="BN16">
            <v>151.117257</v>
          </cell>
          <cell r="BO16">
            <v>201.96003099999999</v>
          </cell>
          <cell r="BP16">
            <v>256.83308599999998</v>
          </cell>
          <cell r="BQ16">
            <v>124.668367</v>
          </cell>
          <cell r="BR16">
            <v>50.182853999999999</v>
          </cell>
          <cell r="BS16">
            <v>3.1991830000000001</v>
          </cell>
          <cell r="BT16">
            <v>230.15374800000001</v>
          </cell>
          <cell r="BU16">
            <v>585.45769700000005</v>
          </cell>
          <cell r="BV16">
            <v>133.920738</v>
          </cell>
          <cell r="BW16">
            <v>1800.280303</v>
          </cell>
          <cell r="BX16">
            <v>1361.9909070000001</v>
          </cell>
          <cell r="BY16">
            <v>97.964876000000004</v>
          </cell>
          <cell r="BZ16">
            <v>243.84651099999999</v>
          </cell>
          <cell r="CA16">
            <v>11.688755</v>
          </cell>
          <cell r="CB16">
            <v>80.673043000000007</v>
          </cell>
          <cell r="CC16">
            <v>0</v>
          </cell>
          <cell r="CD16">
            <v>4.1162109999999998</v>
          </cell>
          <cell r="CE16">
            <v>231.408064</v>
          </cell>
          <cell r="CF16">
            <v>27.376062999999998</v>
          </cell>
          <cell r="CG16">
            <v>51.028616999999997</v>
          </cell>
          <cell r="CH16">
            <v>255.25888800000001</v>
          </cell>
          <cell r="CI16">
            <v>10.625325999999999</v>
          </cell>
          <cell r="CJ16">
            <v>53.667479999999998</v>
          </cell>
          <cell r="CK16">
            <v>823.90148999999997</v>
          </cell>
          <cell r="CL16">
            <v>56.764304000000003</v>
          </cell>
          <cell r="CM16">
            <v>202.303234</v>
          </cell>
          <cell r="CN16">
            <v>489.711861</v>
          </cell>
          <cell r="CO16">
            <v>3.1991830000000001</v>
          </cell>
          <cell r="CP16">
            <v>33.325189999999999</v>
          </cell>
          <cell r="CQ16">
            <v>1552.0382890000001</v>
          </cell>
          <cell r="CR16">
            <v>11.288875000000001</v>
          </cell>
          <cell r="CS16">
            <v>82.512504000000007</v>
          </cell>
          <cell r="CT16">
            <v>189.72320500000001</v>
          </cell>
          <cell r="CU16">
            <v>283.13502599999998</v>
          </cell>
          <cell r="CV16">
            <v>261.04532399999999</v>
          </cell>
          <cell r="CW16">
            <v>207.77625900000001</v>
          </cell>
          <cell r="CX16">
            <v>332.31686500000001</v>
          </cell>
          <cell r="CY16">
            <v>184.24023199999999</v>
          </cell>
          <cell r="CZ16">
            <v>1644</v>
          </cell>
          <cell r="DA16">
            <v>16</v>
          </cell>
          <cell r="DB16">
            <v>80</v>
          </cell>
          <cell r="DC16">
            <v>148</v>
          </cell>
          <cell r="DD16">
            <v>264</v>
          </cell>
          <cell r="DE16">
            <v>320</v>
          </cell>
          <cell r="DF16">
            <v>224</v>
          </cell>
          <cell r="DG16">
            <v>264</v>
          </cell>
          <cell r="DH16">
            <v>328</v>
          </cell>
          <cell r="DI16">
            <v>783.39313000000004</v>
          </cell>
          <cell r="DJ16">
            <v>7.6053490000000004</v>
          </cell>
          <cell r="DK16">
            <v>51.822915000000002</v>
          </cell>
          <cell r="DL16">
            <v>133.24816000000001</v>
          </cell>
          <cell r="DM16">
            <v>111.30644599999999</v>
          </cell>
          <cell r="DN16">
            <v>46.631529999999998</v>
          </cell>
          <cell r="DO16">
            <v>177.24062000000001</v>
          </cell>
          <cell r="DP16">
            <v>179.99378999999999</v>
          </cell>
          <cell r="DQ16">
            <v>75.544319000000002</v>
          </cell>
          <cell r="DR16">
            <v>768.64515900000004</v>
          </cell>
          <cell r="DS16">
            <v>3.6835260000000001</v>
          </cell>
          <cell r="DT16">
            <v>30.689589000000002</v>
          </cell>
          <cell r="DU16">
            <v>56.475045000000001</v>
          </cell>
          <cell r="DV16">
            <v>171.82857999999999</v>
          </cell>
          <cell r="DW16">
            <v>214.413794</v>
          </cell>
          <cell r="DX16">
            <v>30.535639</v>
          </cell>
          <cell r="DY16">
            <v>152.32307499999999</v>
          </cell>
          <cell r="DZ16">
            <v>108.695913</v>
          </cell>
          <cell r="EA16">
            <v>237.936699</v>
          </cell>
          <cell r="EB16">
            <v>0</v>
          </cell>
          <cell r="EC16">
            <v>0</v>
          </cell>
          <cell r="ED16">
            <v>0</v>
          </cell>
          <cell r="EE16">
            <v>19.418063</v>
          </cell>
          <cell r="EF16">
            <v>27.006999</v>
          </cell>
          <cell r="EG16">
            <v>48.680821000000002</v>
          </cell>
          <cell r="EH16">
            <v>0</v>
          </cell>
          <cell r="EI16">
            <v>142.830815</v>
          </cell>
          <cell r="EJ16">
            <v>810.29207799999995</v>
          </cell>
          <cell r="EK16">
            <v>11.288875000000001</v>
          </cell>
          <cell r="EL16">
            <v>54.283188000000003</v>
          </cell>
          <cell r="EM16">
            <v>148.22155900000001</v>
          </cell>
          <cell r="EN16">
            <v>222.45261600000001</v>
          </cell>
          <cell r="EO16">
            <v>196.96592799999999</v>
          </cell>
          <cell r="EP16">
            <v>139.20177799999999</v>
          </cell>
          <cell r="EQ16">
            <v>11.318771</v>
          </cell>
          <cell r="ER16">
            <v>26.559363999999999</v>
          </cell>
          <cell r="ES16">
            <v>503.80951199999998</v>
          </cell>
          <cell r="ET16">
            <v>0</v>
          </cell>
          <cell r="EU16">
            <v>28.229316000000001</v>
          </cell>
          <cell r="EV16">
            <v>41.501646000000001</v>
          </cell>
          <cell r="EW16">
            <v>41.264346000000003</v>
          </cell>
          <cell r="EX16">
            <v>37.072397000000002</v>
          </cell>
          <cell r="EY16">
            <v>19.893660000000001</v>
          </cell>
          <cell r="EZ16">
            <v>320.99809399999998</v>
          </cell>
          <cell r="FA16">
            <v>14.850053000000001</v>
          </cell>
        </row>
        <row r="17">
          <cell r="A17" t="str">
            <v>37153</v>
          </cell>
          <cell r="B17" t="str">
            <v>Monnaie</v>
          </cell>
          <cell r="C17" t="str">
            <v>Vouvrillon</v>
          </cell>
          <cell r="D17">
            <v>3768.125</v>
          </cell>
          <cell r="E17">
            <v>3305</v>
          </cell>
          <cell r="F17">
            <v>2829</v>
          </cell>
          <cell r="G17">
            <v>2250</v>
          </cell>
          <cell r="H17">
            <v>1892</v>
          </cell>
          <cell r="I17">
            <v>1808</v>
          </cell>
          <cell r="J17">
            <v>39.42</v>
          </cell>
          <cell r="K17">
            <v>333</v>
          </cell>
          <cell r="L17">
            <v>361</v>
          </cell>
          <cell r="M17">
            <v>287</v>
          </cell>
          <cell r="N17">
            <v>184</v>
          </cell>
          <cell r="O17">
            <v>272</v>
          </cell>
          <cell r="P17">
            <v>193</v>
          </cell>
          <cell r="Q17">
            <v>217</v>
          </cell>
          <cell r="R17">
            <v>161</v>
          </cell>
          <cell r="S17">
            <v>124</v>
          </cell>
          <cell r="T17">
            <v>109</v>
          </cell>
          <cell r="U17">
            <v>44</v>
          </cell>
          <cell r="V17">
            <v>57</v>
          </cell>
          <cell r="W17">
            <v>41</v>
          </cell>
          <cell r="X17">
            <v>46</v>
          </cell>
          <cell r="Y17">
            <v>54</v>
          </cell>
          <cell r="Z17">
            <v>48</v>
          </cell>
          <cell r="AA17">
            <v>48</v>
          </cell>
          <cell r="AB17">
            <v>48</v>
          </cell>
          <cell r="AC17">
            <v>48</v>
          </cell>
          <cell r="AD17">
            <v>44</v>
          </cell>
          <cell r="AE17">
            <v>27</v>
          </cell>
          <cell r="AF17">
            <v>27</v>
          </cell>
          <cell r="AG17">
            <v>33</v>
          </cell>
          <cell r="AH17">
            <v>24</v>
          </cell>
          <cell r="AI17">
            <v>34</v>
          </cell>
          <cell r="AJ17">
            <v>22</v>
          </cell>
          <cell r="AK17">
            <v>25</v>
          </cell>
          <cell r="AL17">
            <v>24</v>
          </cell>
          <cell r="AM17">
            <v>31</v>
          </cell>
          <cell r="AN17">
            <v>19</v>
          </cell>
          <cell r="AO17">
            <v>884.25994000000003</v>
          </cell>
          <cell r="AP17">
            <v>599.32944599999996</v>
          </cell>
          <cell r="AQ17">
            <v>950.08454800000004</v>
          </cell>
          <cell r="AR17">
            <v>751.62145599999997</v>
          </cell>
          <cell r="AS17">
            <v>344.876957</v>
          </cell>
          <cell r="AT17">
            <v>237.952653</v>
          </cell>
          <cell r="AU17">
            <v>759</v>
          </cell>
          <cell r="AV17">
            <v>608</v>
          </cell>
          <cell r="AW17">
            <v>867</v>
          </cell>
          <cell r="AX17">
            <v>588</v>
          </cell>
          <cell r="AY17">
            <v>278</v>
          </cell>
          <cell r="AZ17">
            <v>205</v>
          </cell>
          <cell r="BA17">
            <v>1873.698856</v>
          </cell>
          <cell r="BB17">
            <v>440.16326500000002</v>
          </cell>
          <cell r="BC17">
            <v>288.85714300000001</v>
          </cell>
          <cell r="BD17">
            <v>482.41107899999997</v>
          </cell>
          <cell r="BE17">
            <v>381.212828</v>
          </cell>
          <cell r="BF17">
            <v>188.644779</v>
          </cell>
          <cell r="BG17">
            <v>83.546918000000005</v>
          </cell>
          <cell r="BH17">
            <v>8.8628440000000008</v>
          </cell>
          <cell r="BI17">
            <v>559.04664700000001</v>
          </cell>
          <cell r="BJ17">
            <v>1126.93586</v>
          </cell>
          <cell r="BK17">
            <v>187.71634900000001</v>
          </cell>
          <cell r="BL17">
            <v>1894.426144</v>
          </cell>
          <cell r="BM17">
            <v>444.09667400000001</v>
          </cell>
          <cell r="BN17">
            <v>310.47230300000001</v>
          </cell>
          <cell r="BO17">
            <v>467.67346900000001</v>
          </cell>
          <cell r="BP17">
            <v>370.40862800000002</v>
          </cell>
          <cell r="BQ17">
            <v>156.232178</v>
          </cell>
          <cell r="BR17">
            <v>116.992723</v>
          </cell>
          <cell r="BS17">
            <v>28.550167999999999</v>
          </cell>
          <cell r="BT17">
            <v>561.01504199999999</v>
          </cell>
          <cell r="BU17">
            <v>1102.3799369999999</v>
          </cell>
          <cell r="BV17">
            <v>231.03116499999999</v>
          </cell>
          <cell r="BW17">
            <v>3475.3344480000001</v>
          </cell>
          <cell r="BX17">
            <v>2294.2018360000002</v>
          </cell>
          <cell r="BY17">
            <v>201.413994</v>
          </cell>
          <cell r="BZ17">
            <v>595.52784999999994</v>
          </cell>
          <cell r="CA17">
            <v>69.758016999999995</v>
          </cell>
          <cell r="CB17">
            <v>292.81759</v>
          </cell>
          <cell r="CC17">
            <v>8.8425659999999997</v>
          </cell>
          <cell r="CD17">
            <v>12.772595000000001</v>
          </cell>
          <cell r="CE17">
            <v>594.41691000000003</v>
          </cell>
          <cell r="CF17">
            <v>47.160350000000001</v>
          </cell>
          <cell r="CG17">
            <v>169.973761</v>
          </cell>
          <cell r="CH17">
            <v>383.177843</v>
          </cell>
          <cell r="CI17">
            <v>28.492711</v>
          </cell>
          <cell r="CJ17">
            <v>99.233236000000005</v>
          </cell>
          <cell r="CK17">
            <v>1709.5660620000001</v>
          </cell>
          <cell r="CL17">
            <v>103.163265</v>
          </cell>
          <cell r="CM17">
            <v>601.29446099999996</v>
          </cell>
          <cell r="CN17">
            <v>791.12115600000004</v>
          </cell>
          <cell r="CO17">
            <v>22.597667999999999</v>
          </cell>
          <cell r="CP17">
            <v>109.21716000000001</v>
          </cell>
          <cell r="CQ17">
            <v>2845.5438960000001</v>
          </cell>
          <cell r="CR17">
            <v>11.790087</v>
          </cell>
          <cell r="CS17">
            <v>113.970845</v>
          </cell>
          <cell r="CT17">
            <v>220.08163300000001</v>
          </cell>
          <cell r="CU17">
            <v>526.62390700000003</v>
          </cell>
          <cell r="CV17">
            <v>534.48396500000001</v>
          </cell>
          <cell r="CW17">
            <v>506.97376100000002</v>
          </cell>
          <cell r="CX17">
            <v>566.12698699999999</v>
          </cell>
          <cell r="CY17">
            <v>365.49271099999999</v>
          </cell>
          <cell r="CZ17">
            <v>2552</v>
          </cell>
          <cell r="DA17">
            <v>36</v>
          </cell>
          <cell r="DB17">
            <v>68</v>
          </cell>
          <cell r="DC17">
            <v>156</v>
          </cell>
          <cell r="DD17">
            <v>368</v>
          </cell>
          <cell r="DE17">
            <v>492</v>
          </cell>
          <cell r="DF17">
            <v>480</v>
          </cell>
          <cell r="DG17">
            <v>420</v>
          </cell>
          <cell r="DH17">
            <v>532</v>
          </cell>
          <cell r="DI17">
            <v>1414.891611</v>
          </cell>
          <cell r="DJ17">
            <v>7.8600580000000004</v>
          </cell>
          <cell r="DK17">
            <v>70.740525000000005</v>
          </cell>
          <cell r="DL17">
            <v>137.55101999999999</v>
          </cell>
          <cell r="DM17">
            <v>259.38192400000003</v>
          </cell>
          <cell r="DN17">
            <v>90.390670999999998</v>
          </cell>
          <cell r="DO17">
            <v>424.44314900000001</v>
          </cell>
          <cell r="DP17">
            <v>279.11318499999999</v>
          </cell>
          <cell r="DQ17">
            <v>145.411079</v>
          </cell>
          <cell r="DR17">
            <v>1430.6522849999999</v>
          </cell>
          <cell r="DS17">
            <v>3.9300290000000002</v>
          </cell>
          <cell r="DT17">
            <v>43.230321000000004</v>
          </cell>
          <cell r="DU17">
            <v>82.530612000000005</v>
          </cell>
          <cell r="DV17">
            <v>267.241983</v>
          </cell>
          <cell r="DW17">
            <v>444.09329400000001</v>
          </cell>
          <cell r="DX17">
            <v>82.530612000000005</v>
          </cell>
          <cell r="DY17">
            <v>287.013801</v>
          </cell>
          <cell r="DZ17">
            <v>220.08163300000001</v>
          </cell>
          <cell r="EA17">
            <v>353.70262400000001</v>
          </cell>
          <cell r="EB17">
            <v>0</v>
          </cell>
          <cell r="EC17">
            <v>3.9300290000000002</v>
          </cell>
          <cell r="ED17">
            <v>0</v>
          </cell>
          <cell r="EE17">
            <v>27.510204000000002</v>
          </cell>
          <cell r="EF17">
            <v>51.090378999999999</v>
          </cell>
          <cell r="EG17">
            <v>70.740525000000005</v>
          </cell>
          <cell r="EH17">
            <v>0</v>
          </cell>
          <cell r="EI17">
            <v>200.431487</v>
          </cell>
          <cell r="EJ17">
            <v>1721.35277</v>
          </cell>
          <cell r="EK17">
            <v>7.8600580000000004</v>
          </cell>
          <cell r="EL17">
            <v>78.600583</v>
          </cell>
          <cell r="EM17">
            <v>204.36151599999999</v>
          </cell>
          <cell r="EN17">
            <v>463.74344000000002</v>
          </cell>
          <cell r="EO17">
            <v>448.023324</v>
          </cell>
          <cell r="EP17">
            <v>385.14285699999999</v>
          </cell>
          <cell r="EQ17">
            <v>31.440232999999999</v>
          </cell>
          <cell r="ER17">
            <v>102.180758</v>
          </cell>
          <cell r="ES17">
            <v>770.48850300000004</v>
          </cell>
          <cell r="ET17">
            <v>3.9300290000000002</v>
          </cell>
          <cell r="EU17">
            <v>31.440232999999999</v>
          </cell>
          <cell r="EV17">
            <v>15.720117</v>
          </cell>
          <cell r="EW17">
            <v>35.370261999999997</v>
          </cell>
          <cell r="EX17">
            <v>35.370261999999997</v>
          </cell>
          <cell r="EY17">
            <v>51.090378999999999</v>
          </cell>
          <cell r="EZ17">
            <v>534.68675399999995</v>
          </cell>
          <cell r="FA17">
            <v>62.880465999999998</v>
          </cell>
        </row>
        <row r="18">
          <cell r="A18" t="str">
            <v>37154</v>
          </cell>
          <cell r="B18" t="str">
            <v>Montbazon</v>
          </cell>
          <cell r="C18" t="str">
            <v>CC du Val de l'Indre</v>
          </cell>
          <cell r="D18">
            <v>3953</v>
          </cell>
          <cell r="E18">
            <v>3433</v>
          </cell>
          <cell r="F18">
            <v>3354</v>
          </cell>
          <cell r="G18">
            <v>3011</v>
          </cell>
          <cell r="H18">
            <v>2447</v>
          </cell>
          <cell r="I18">
            <v>1903</v>
          </cell>
          <cell r="J18">
            <v>6.5</v>
          </cell>
          <cell r="K18">
            <v>314</v>
          </cell>
          <cell r="L18">
            <v>330</v>
          </cell>
          <cell r="M18">
            <v>262</v>
          </cell>
          <cell r="N18">
            <v>202</v>
          </cell>
          <cell r="O18">
            <v>267</v>
          </cell>
          <cell r="P18">
            <v>203</v>
          </cell>
          <cell r="Q18">
            <v>235</v>
          </cell>
          <cell r="R18">
            <v>194</v>
          </cell>
          <cell r="S18">
            <v>163</v>
          </cell>
          <cell r="T18">
            <v>143</v>
          </cell>
          <cell r="U18">
            <v>52</v>
          </cell>
          <cell r="V18">
            <v>52</v>
          </cell>
          <cell r="W18">
            <v>54</v>
          </cell>
          <cell r="X18">
            <v>48</v>
          </cell>
          <cell r="Y18">
            <v>53</v>
          </cell>
          <cell r="Z18">
            <v>45</v>
          </cell>
          <cell r="AA18">
            <v>41</v>
          </cell>
          <cell r="AB18">
            <v>37</v>
          </cell>
          <cell r="AC18">
            <v>36</v>
          </cell>
          <cell r="AD18">
            <v>41</v>
          </cell>
          <cell r="AE18">
            <v>15</v>
          </cell>
          <cell r="AF18">
            <v>27</v>
          </cell>
          <cell r="AG18">
            <v>25</v>
          </cell>
          <cell r="AH18">
            <v>25</v>
          </cell>
          <cell r="AI18">
            <v>29</v>
          </cell>
          <cell r="AJ18">
            <v>27</v>
          </cell>
          <cell r="AK18">
            <v>42</v>
          </cell>
          <cell r="AL18">
            <v>21</v>
          </cell>
          <cell r="AM18">
            <v>34</v>
          </cell>
          <cell r="AN18">
            <v>27</v>
          </cell>
          <cell r="AO18">
            <v>787.04495999999995</v>
          </cell>
          <cell r="AP18">
            <v>615.57556099999999</v>
          </cell>
          <cell r="AQ18">
            <v>875.890579</v>
          </cell>
          <cell r="AR18">
            <v>833.38103599999999</v>
          </cell>
          <cell r="AS18">
            <v>537.39803400000005</v>
          </cell>
          <cell r="AT18">
            <v>303.70983000000001</v>
          </cell>
          <cell r="AU18">
            <v>649</v>
          </cell>
          <cell r="AV18">
            <v>634</v>
          </cell>
          <cell r="AW18">
            <v>726</v>
          </cell>
          <cell r="AX18">
            <v>714</v>
          </cell>
          <cell r="AY18">
            <v>481</v>
          </cell>
          <cell r="AZ18">
            <v>229</v>
          </cell>
          <cell r="BA18">
            <v>1920.5185300000001</v>
          </cell>
          <cell r="BB18">
            <v>429.92649399999999</v>
          </cell>
          <cell r="BC18">
            <v>293.976856</v>
          </cell>
          <cell r="BD18">
            <v>418.82074799999998</v>
          </cell>
          <cell r="BE18">
            <v>399.06905499999999</v>
          </cell>
          <cell r="BF18">
            <v>276.000091</v>
          </cell>
          <cell r="BG18">
            <v>95.440252999999998</v>
          </cell>
          <cell r="BH18">
            <v>7.2850320000000002</v>
          </cell>
          <cell r="BI18">
            <v>546.03469399999994</v>
          </cell>
          <cell r="BJ18">
            <v>1110.8066120000001</v>
          </cell>
          <cell r="BK18">
            <v>263.67722400000002</v>
          </cell>
          <cell r="BL18">
            <v>2032.4814699999999</v>
          </cell>
          <cell r="BM18">
            <v>357.11846600000001</v>
          </cell>
          <cell r="BN18">
            <v>321.598704</v>
          </cell>
          <cell r="BO18">
            <v>457.06983100000002</v>
          </cell>
          <cell r="BP18">
            <v>434.311981</v>
          </cell>
          <cell r="BQ18">
            <v>261.397943</v>
          </cell>
          <cell r="BR18">
            <v>170.017618</v>
          </cell>
          <cell r="BS18">
            <v>30.966927999999999</v>
          </cell>
          <cell r="BT18">
            <v>475.651589</v>
          </cell>
          <cell r="BU18">
            <v>1190.258728</v>
          </cell>
          <cell r="BV18">
            <v>366.57115299999998</v>
          </cell>
          <cell r="BW18">
            <v>3664.3031139999998</v>
          </cell>
          <cell r="BX18">
            <v>2235.0920500000002</v>
          </cell>
          <cell r="BY18">
            <v>236.02567500000001</v>
          </cell>
          <cell r="BZ18">
            <v>736.15421400000002</v>
          </cell>
          <cell r="CA18">
            <v>69.261785000000003</v>
          </cell>
          <cell r="CB18">
            <v>346.399159</v>
          </cell>
          <cell r="CC18">
            <v>3.2022590000000002</v>
          </cell>
          <cell r="CD18">
            <v>38.167971999999999</v>
          </cell>
          <cell r="CE18">
            <v>499.39528899999999</v>
          </cell>
          <cell r="CF18">
            <v>58.144088000000004</v>
          </cell>
          <cell r="CG18">
            <v>211.74834100000001</v>
          </cell>
          <cell r="CH18">
            <v>426.93562900000001</v>
          </cell>
          <cell r="CI18">
            <v>33.639521999999999</v>
          </cell>
          <cell r="CJ18">
            <v>147.61478399999999</v>
          </cell>
          <cell r="CK18">
            <v>1626.7147299999999</v>
          </cell>
          <cell r="CL18">
            <v>118.17419</v>
          </cell>
          <cell r="CM18">
            <v>712.16644499999995</v>
          </cell>
          <cell r="CN18">
            <v>1112.3046810000001</v>
          </cell>
          <cell r="CO18">
            <v>26.067875000000001</v>
          </cell>
          <cell r="CP18">
            <v>121.655818</v>
          </cell>
          <cell r="CQ18">
            <v>3183.3320410000001</v>
          </cell>
          <cell r="CR18">
            <v>0</v>
          </cell>
          <cell r="CS18">
            <v>136.41695899999999</v>
          </cell>
          <cell r="CT18">
            <v>247.46891199999999</v>
          </cell>
          <cell r="CU18">
            <v>554.89011700000003</v>
          </cell>
          <cell r="CV18">
            <v>529.30363299999999</v>
          </cell>
          <cell r="CW18">
            <v>350.53501399999999</v>
          </cell>
          <cell r="CX18">
            <v>858.64362000000006</v>
          </cell>
          <cell r="CY18">
            <v>506.07378699999998</v>
          </cell>
          <cell r="CZ18">
            <v>2748</v>
          </cell>
          <cell r="DA18">
            <v>0</v>
          </cell>
          <cell r="DB18">
            <v>104</v>
          </cell>
          <cell r="DC18">
            <v>216</v>
          </cell>
          <cell r="DD18">
            <v>364</v>
          </cell>
          <cell r="DE18">
            <v>440</v>
          </cell>
          <cell r="DF18">
            <v>420</v>
          </cell>
          <cell r="DG18">
            <v>660</v>
          </cell>
          <cell r="DH18">
            <v>544</v>
          </cell>
          <cell r="DI18">
            <v>1510.837303</v>
          </cell>
          <cell r="DJ18">
            <v>0</v>
          </cell>
          <cell r="DK18">
            <v>102.332548</v>
          </cell>
          <cell r="DL18">
            <v>157.37503899999999</v>
          </cell>
          <cell r="DM18">
            <v>277.04381999999998</v>
          </cell>
          <cell r="DN18">
            <v>119.089439</v>
          </cell>
          <cell r="DO18">
            <v>273.424284</v>
          </cell>
          <cell r="DP18">
            <v>434.982032</v>
          </cell>
          <cell r="DQ18">
            <v>146.59013999999999</v>
          </cell>
          <cell r="DR18">
            <v>1672.494739</v>
          </cell>
          <cell r="DS18">
            <v>0</v>
          </cell>
          <cell r="DT18">
            <v>34.084411000000003</v>
          </cell>
          <cell r="DU18">
            <v>90.093873000000002</v>
          </cell>
          <cell r="DV18">
            <v>277.84629799999999</v>
          </cell>
          <cell r="DW18">
            <v>410.21419400000002</v>
          </cell>
          <cell r="DX18">
            <v>77.110729000000006</v>
          </cell>
          <cell r="DY18">
            <v>423.66158799999999</v>
          </cell>
          <cell r="DZ18">
            <v>359.48364600000002</v>
          </cell>
          <cell r="EA18">
            <v>422.00374499999998</v>
          </cell>
          <cell r="EB18">
            <v>0</v>
          </cell>
          <cell r="EC18">
            <v>4.269679</v>
          </cell>
          <cell r="ED18">
            <v>0</v>
          </cell>
          <cell r="EE18">
            <v>47.065966000000003</v>
          </cell>
          <cell r="EF18">
            <v>64.629604999999998</v>
          </cell>
          <cell r="EG18">
            <v>29.894017999999999</v>
          </cell>
          <cell r="EH18">
            <v>0</v>
          </cell>
          <cell r="EI18">
            <v>276.144476</v>
          </cell>
          <cell r="EJ18">
            <v>1589.3114149999999</v>
          </cell>
          <cell r="EK18">
            <v>0</v>
          </cell>
          <cell r="EL18">
            <v>101.597348</v>
          </cell>
          <cell r="EM18">
            <v>212.81408099999999</v>
          </cell>
          <cell r="EN18">
            <v>451.157127</v>
          </cell>
          <cell r="EO18">
            <v>403.574163</v>
          </cell>
          <cell r="EP18">
            <v>277.28361599999999</v>
          </cell>
          <cell r="EQ18">
            <v>12.891412000000001</v>
          </cell>
          <cell r="ER18">
            <v>129.99366900000001</v>
          </cell>
          <cell r="ES18">
            <v>1172.0168819999999</v>
          </cell>
          <cell r="ET18">
            <v>0</v>
          </cell>
          <cell r="EU18">
            <v>30.549931999999998</v>
          </cell>
          <cell r="EV18">
            <v>34.654831000000001</v>
          </cell>
          <cell r="EW18">
            <v>56.667025000000002</v>
          </cell>
          <cell r="EX18">
            <v>61.099865000000001</v>
          </cell>
          <cell r="EY18">
            <v>43.357379999999999</v>
          </cell>
          <cell r="EZ18">
            <v>845.752208</v>
          </cell>
          <cell r="FA18">
            <v>99.935642000000001</v>
          </cell>
        </row>
        <row r="19">
          <cell r="A19" t="str">
            <v>37156</v>
          </cell>
          <cell r="B19" t="str">
            <v>Montlouis-sur-Loire</v>
          </cell>
          <cell r="C19" t="str">
            <v>CC de l'Est Tourangeau</v>
          </cell>
          <cell r="D19">
            <v>10282.375</v>
          </cell>
          <cell r="E19">
            <v>9653</v>
          </cell>
          <cell r="F19">
            <v>8309</v>
          </cell>
          <cell r="G19">
            <v>6932</v>
          </cell>
          <cell r="H19">
            <v>5692</v>
          </cell>
          <cell r="I19">
            <v>4169</v>
          </cell>
          <cell r="J19">
            <v>24.55</v>
          </cell>
          <cell r="K19">
            <v>800</v>
          </cell>
          <cell r="L19">
            <v>974</v>
          </cell>
          <cell r="M19">
            <v>745</v>
          </cell>
          <cell r="N19">
            <v>546</v>
          </cell>
          <cell r="O19">
            <v>506</v>
          </cell>
          <cell r="P19">
            <v>604</v>
          </cell>
          <cell r="Q19">
            <v>705</v>
          </cell>
          <cell r="R19">
            <v>524</v>
          </cell>
          <cell r="S19">
            <v>430</v>
          </cell>
          <cell r="T19">
            <v>340</v>
          </cell>
          <cell r="U19">
            <v>116</v>
          </cell>
          <cell r="V19">
            <v>124</v>
          </cell>
          <cell r="W19">
            <v>103</v>
          </cell>
          <cell r="X19">
            <v>119</v>
          </cell>
          <cell r="Y19">
            <v>110</v>
          </cell>
          <cell r="Z19">
            <v>112</v>
          </cell>
          <cell r="AA19">
            <v>126</v>
          </cell>
          <cell r="AB19">
            <v>125</v>
          </cell>
          <cell r="AC19">
            <v>105</v>
          </cell>
          <cell r="AD19">
            <v>126</v>
          </cell>
          <cell r="AE19">
            <v>104</v>
          </cell>
          <cell r="AF19">
            <v>91</v>
          </cell>
          <cell r="AG19">
            <v>76</v>
          </cell>
          <cell r="AH19">
            <v>82</v>
          </cell>
          <cell r="AI19">
            <v>109</v>
          </cell>
          <cell r="AJ19">
            <v>96</v>
          </cell>
          <cell r="AK19">
            <v>90</v>
          </cell>
          <cell r="AL19">
            <v>75</v>
          </cell>
          <cell r="AM19">
            <v>76</v>
          </cell>
          <cell r="AN19">
            <v>76</v>
          </cell>
          <cell r="AO19">
            <v>2109.266423</v>
          </cell>
          <cell r="AP19">
            <v>1664.6129800000001</v>
          </cell>
          <cell r="AQ19">
            <v>2299.1081319999998</v>
          </cell>
          <cell r="AR19">
            <v>2127.6398279999999</v>
          </cell>
          <cell r="AS19">
            <v>1323.803727</v>
          </cell>
          <cell r="AT19">
            <v>757.94390999999996</v>
          </cell>
          <cell r="AU19">
            <v>2238</v>
          </cell>
          <cell r="AV19">
            <v>1551</v>
          </cell>
          <cell r="AW19">
            <v>2290</v>
          </cell>
          <cell r="AX19">
            <v>1833</v>
          </cell>
          <cell r="AY19">
            <v>1117</v>
          </cell>
          <cell r="AZ19">
            <v>624</v>
          </cell>
          <cell r="BA19">
            <v>5075.83374</v>
          </cell>
          <cell r="BB19">
            <v>1156.6989510000001</v>
          </cell>
          <cell r="BC19">
            <v>839.70656899999994</v>
          </cell>
          <cell r="BD19">
            <v>1115.8987930000001</v>
          </cell>
          <cell r="BE19">
            <v>1036.601146</v>
          </cell>
          <cell r="BF19">
            <v>662.40268100000003</v>
          </cell>
          <cell r="BG19">
            <v>248.64677499999999</v>
          </cell>
          <cell r="BH19">
            <v>15.878824</v>
          </cell>
          <cell r="BI19">
            <v>1531.00188</v>
          </cell>
          <cell r="BJ19">
            <v>2884.251499</v>
          </cell>
          <cell r="BK19">
            <v>660.58036100000004</v>
          </cell>
          <cell r="BL19">
            <v>5206.54126</v>
          </cell>
          <cell r="BM19">
            <v>952.56747099999995</v>
          </cell>
          <cell r="BN19">
            <v>824.90641100000005</v>
          </cell>
          <cell r="BO19">
            <v>1183.209339</v>
          </cell>
          <cell r="BP19">
            <v>1091.0386820000001</v>
          </cell>
          <cell r="BQ19">
            <v>661.40104499999995</v>
          </cell>
          <cell r="BR19">
            <v>402.64684799999998</v>
          </cell>
          <cell r="BS19">
            <v>90.771463999999995</v>
          </cell>
          <cell r="BT19">
            <v>1313.0202810000001</v>
          </cell>
          <cell r="BU19">
            <v>2992.1736249999999</v>
          </cell>
          <cell r="BV19">
            <v>901.347354</v>
          </cell>
          <cell r="BW19">
            <v>9643.6300460000002</v>
          </cell>
          <cell r="BX19">
            <v>6160.5515919999998</v>
          </cell>
          <cell r="BY19">
            <v>1045.9395440000001</v>
          </cell>
          <cell r="BZ19">
            <v>1600.5177269999999</v>
          </cell>
          <cell r="CA19">
            <v>151.48410999999999</v>
          </cell>
          <cell r="CB19">
            <v>663.356899</v>
          </cell>
          <cell r="CC19">
            <v>0</v>
          </cell>
          <cell r="CD19">
            <v>21.780173999999999</v>
          </cell>
          <cell r="CE19">
            <v>1478.4415309999999</v>
          </cell>
          <cell r="CF19">
            <v>241.92164600000001</v>
          </cell>
          <cell r="CG19">
            <v>449.463593</v>
          </cell>
          <cell r="CH19">
            <v>1197.239315</v>
          </cell>
          <cell r="CI19">
            <v>188.42124999999999</v>
          </cell>
          <cell r="CJ19">
            <v>256.41205000000002</v>
          </cell>
          <cell r="CK19">
            <v>4163.4529089999996</v>
          </cell>
          <cell r="CL19">
            <v>495.47358500000001</v>
          </cell>
          <cell r="CM19">
            <v>1428.5814210000001</v>
          </cell>
          <cell r="CN19">
            <v>2812.4163530000001</v>
          </cell>
          <cell r="CO19">
            <v>120.123062</v>
          </cell>
          <cell r="CP19">
            <v>302.681847</v>
          </cell>
          <cell r="CQ19">
            <v>8060.4470369999999</v>
          </cell>
          <cell r="CR19">
            <v>83.160664999999995</v>
          </cell>
          <cell r="CS19">
            <v>289.082311</v>
          </cell>
          <cell r="CT19">
            <v>629.64503400000001</v>
          </cell>
          <cell r="CU19">
            <v>1172.169371</v>
          </cell>
          <cell r="CV19">
            <v>1492.9319350000001</v>
          </cell>
          <cell r="CW19">
            <v>1065.2485160000001</v>
          </cell>
          <cell r="CX19">
            <v>2262.9090930000002</v>
          </cell>
          <cell r="CY19">
            <v>1065.3001119999999</v>
          </cell>
          <cell r="CZ19">
            <v>7360</v>
          </cell>
          <cell r="DA19">
            <v>56</v>
          </cell>
          <cell r="DB19">
            <v>288</v>
          </cell>
          <cell r="DC19">
            <v>472</v>
          </cell>
          <cell r="DD19">
            <v>1108</v>
          </cell>
          <cell r="DE19">
            <v>1280</v>
          </cell>
          <cell r="DF19">
            <v>1160</v>
          </cell>
          <cell r="DG19">
            <v>1608</v>
          </cell>
          <cell r="DH19">
            <v>1388</v>
          </cell>
          <cell r="DI19">
            <v>3817.7285000000002</v>
          </cell>
          <cell r="DJ19">
            <v>59.400475</v>
          </cell>
          <cell r="DK19">
            <v>217.80174099999999</v>
          </cell>
          <cell r="DL19">
            <v>427.68341900000001</v>
          </cell>
          <cell r="DM19">
            <v>510.84408400000001</v>
          </cell>
          <cell r="DN19">
            <v>293.04234300000002</v>
          </cell>
          <cell r="DO19">
            <v>871.20696499999997</v>
          </cell>
          <cell r="DP19">
            <v>1077.3865920000001</v>
          </cell>
          <cell r="DQ19">
            <v>360.36288100000002</v>
          </cell>
          <cell r="DR19">
            <v>4242.7185369999997</v>
          </cell>
          <cell r="DS19">
            <v>23.760190000000001</v>
          </cell>
          <cell r="DT19">
            <v>71.280569999999997</v>
          </cell>
          <cell r="DU19">
            <v>201.96161499999999</v>
          </cell>
          <cell r="DV19">
            <v>661.325287</v>
          </cell>
          <cell r="DW19">
            <v>1199.889592</v>
          </cell>
          <cell r="DX19">
            <v>194.041551</v>
          </cell>
          <cell r="DY19">
            <v>1185.5225009999999</v>
          </cell>
          <cell r="DZ19">
            <v>704.937231</v>
          </cell>
          <cell r="EA19">
            <v>1120.6889590000001</v>
          </cell>
          <cell r="EB19">
            <v>7.9200629999999999</v>
          </cell>
          <cell r="EC19">
            <v>3.960032</v>
          </cell>
          <cell r="ED19">
            <v>3.960032</v>
          </cell>
          <cell r="EE19">
            <v>63.360506999999998</v>
          </cell>
          <cell r="EF19">
            <v>209.88167799999999</v>
          </cell>
          <cell r="EG19">
            <v>186.121488</v>
          </cell>
          <cell r="EH19">
            <v>0</v>
          </cell>
          <cell r="EI19">
            <v>645.48515999999995</v>
          </cell>
          <cell r="EJ19">
            <v>4031.3122279999998</v>
          </cell>
          <cell r="EK19">
            <v>55.440443000000002</v>
          </cell>
          <cell r="EL19">
            <v>261.36208900000003</v>
          </cell>
          <cell r="EM19">
            <v>550.44439999999997</v>
          </cell>
          <cell r="EN19">
            <v>1001.888009</v>
          </cell>
          <cell r="EO19">
            <v>1100.8888010000001</v>
          </cell>
          <cell r="EP19">
            <v>811.80649000000005</v>
          </cell>
          <cell r="EQ19">
            <v>27.720222</v>
          </cell>
          <cell r="ER19">
            <v>221.76177300000001</v>
          </cell>
          <cell r="ES19">
            <v>2908.4458500000001</v>
          </cell>
          <cell r="ET19">
            <v>19.800158</v>
          </cell>
          <cell r="EU19">
            <v>23.760190000000001</v>
          </cell>
          <cell r="EV19">
            <v>75.240601999999996</v>
          </cell>
          <cell r="EW19">
            <v>106.920855</v>
          </cell>
          <cell r="EX19">
            <v>182.16145599999999</v>
          </cell>
          <cell r="EY19">
            <v>67.320537999999999</v>
          </cell>
          <cell r="EZ19">
            <v>2235.1888720000002</v>
          </cell>
          <cell r="FA19">
            <v>198.053179</v>
          </cell>
        </row>
        <row r="20">
          <cell r="A20" t="str">
            <v>37159</v>
          </cell>
          <cell r="B20" t="str">
            <v>Monts</v>
          </cell>
          <cell r="C20" t="str">
            <v>CC du Val de l'Indre</v>
          </cell>
          <cell r="D20">
            <v>7013</v>
          </cell>
          <cell r="E20">
            <v>6512</v>
          </cell>
          <cell r="F20">
            <v>6221</v>
          </cell>
          <cell r="G20">
            <v>5421</v>
          </cell>
          <cell r="H20">
            <v>4480</v>
          </cell>
          <cell r="I20">
            <v>3506</v>
          </cell>
          <cell r="J20">
            <v>27.28</v>
          </cell>
          <cell r="K20">
            <v>507</v>
          </cell>
          <cell r="L20">
            <v>653</v>
          </cell>
          <cell r="M20">
            <v>633</v>
          </cell>
          <cell r="N20">
            <v>370</v>
          </cell>
          <cell r="O20">
            <v>515</v>
          </cell>
          <cell r="P20">
            <v>317</v>
          </cell>
          <cell r="Q20">
            <v>363</v>
          </cell>
          <cell r="R20">
            <v>346</v>
          </cell>
          <cell r="S20">
            <v>271</v>
          </cell>
          <cell r="T20">
            <v>225</v>
          </cell>
          <cell r="U20">
            <v>53</v>
          </cell>
          <cell r="V20">
            <v>79</v>
          </cell>
          <cell r="W20">
            <v>79</v>
          </cell>
          <cell r="X20">
            <v>89</v>
          </cell>
          <cell r="Y20">
            <v>67</v>
          </cell>
          <cell r="Z20">
            <v>61</v>
          </cell>
          <cell r="AA20">
            <v>68</v>
          </cell>
          <cell r="AB20">
            <v>68</v>
          </cell>
          <cell r="AC20">
            <v>75</v>
          </cell>
          <cell r="AD20">
            <v>80</v>
          </cell>
          <cell r="AE20">
            <v>37</v>
          </cell>
          <cell r="AF20">
            <v>48</v>
          </cell>
          <cell r="AG20">
            <v>43</v>
          </cell>
          <cell r="AH20">
            <v>48</v>
          </cell>
          <cell r="AI20">
            <v>46</v>
          </cell>
          <cell r="AJ20">
            <v>49</v>
          </cell>
          <cell r="AK20">
            <v>45</v>
          </cell>
          <cell r="AL20">
            <v>43</v>
          </cell>
          <cell r="AM20">
            <v>43</v>
          </cell>
          <cell r="AN20">
            <v>58</v>
          </cell>
          <cell r="AO20">
            <v>1480.924927</v>
          </cell>
          <cell r="AP20">
            <v>1035.7719139999999</v>
          </cell>
          <cell r="AQ20">
            <v>1704.329929</v>
          </cell>
          <cell r="AR20">
            <v>1542.284005</v>
          </cell>
          <cell r="AS20">
            <v>889.13928699999997</v>
          </cell>
          <cell r="AT20">
            <v>360.549937</v>
          </cell>
          <cell r="AU20">
            <v>1446</v>
          </cell>
          <cell r="AV20">
            <v>1029</v>
          </cell>
          <cell r="AW20">
            <v>1619</v>
          </cell>
          <cell r="AX20">
            <v>1360</v>
          </cell>
          <cell r="AY20">
            <v>746</v>
          </cell>
          <cell r="AZ20">
            <v>312</v>
          </cell>
          <cell r="BA20">
            <v>3428.2695180000001</v>
          </cell>
          <cell r="BB20">
            <v>732.79378099999997</v>
          </cell>
          <cell r="BC20">
            <v>533.388914</v>
          </cell>
          <cell r="BD20">
            <v>826.40623100000005</v>
          </cell>
          <cell r="BE20">
            <v>765.35282600000005</v>
          </cell>
          <cell r="BF20">
            <v>445.36066</v>
          </cell>
          <cell r="BG20">
            <v>116.79165399999999</v>
          </cell>
          <cell r="BH20">
            <v>8.1754519999999999</v>
          </cell>
          <cell r="BI20">
            <v>986.17421999999999</v>
          </cell>
          <cell r="BJ20">
            <v>2038.440398</v>
          </cell>
          <cell r="BK20">
            <v>403.654899</v>
          </cell>
          <cell r="BL20">
            <v>3584.7304819999999</v>
          </cell>
          <cell r="BM20">
            <v>748.13114599999994</v>
          </cell>
          <cell r="BN20">
            <v>502.38299999999998</v>
          </cell>
          <cell r="BO20">
            <v>877.92369900000006</v>
          </cell>
          <cell r="BP20">
            <v>776.93117900000004</v>
          </cell>
          <cell r="BQ20">
            <v>443.77862699999997</v>
          </cell>
          <cell r="BR20">
            <v>190.86192199999999</v>
          </cell>
          <cell r="BS20">
            <v>44.720908999999999</v>
          </cell>
          <cell r="BT20">
            <v>988.96979399999998</v>
          </cell>
          <cell r="BU20">
            <v>2085.4000890000002</v>
          </cell>
          <cell r="BV20">
            <v>510.36059899999998</v>
          </cell>
          <cell r="BW20">
            <v>6538.9439309999998</v>
          </cell>
          <cell r="BX20">
            <v>4523.7990909999999</v>
          </cell>
          <cell r="BY20">
            <v>416.86012299999999</v>
          </cell>
          <cell r="BZ20">
            <v>1100.985482</v>
          </cell>
          <cell r="CA20">
            <v>73.840967000000006</v>
          </cell>
          <cell r="CB20">
            <v>404.41721899999999</v>
          </cell>
          <cell r="CC20">
            <v>3.0756679999999998</v>
          </cell>
          <cell r="CD20">
            <v>15.965382</v>
          </cell>
          <cell r="CE20">
            <v>1011.710598</v>
          </cell>
          <cell r="CF20">
            <v>108.455054</v>
          </cell>
          <cell r="CG20">
            <v>303.58808399999998</v>
          </cell>
          <cell r="CH20">
            <v>778.796785</v>
          </cell>
          <cell r="CI20">
            <v>55.732241999999999</v>
          </cell>
          <cell r="CJ20">
            <v>143.589114</v>
          </cell>
          <cell r="CK20">
            <v>3016.8549549999998</v>
          </cell>
          <cell r="CL20">
            <v>226.647131</v>
          </cell>
          <cell r="CM20">
            <v>1032.5817259999999</v>
          </cell>
          <cell r="CN20">
            <v>1736.4233320000001</v>
          </cell>
          <cell r="CO20">
            <v>26.025697000000001</v>
          </cell>
          <cell r="CP20">
            <v>118.52579299999999</v>
          </cell>
          <cell r="CQ20">
            <v>5537.7071120000001</v>
          </cell>
          <cell r="CR20">
            <v>27.812771999999999</v>
          </cell>
          <cell r="CS20">
            <v>124.093028</v>
          </cell>
          <cell r="CT20">
            <v>404.40988399999998</v>
          </cell>
          <cell r="CU20">
            <v>994.047504</v>
          </cell>
          <cell r="CV20">
            <v>1061.7573460000001</v>
          </cell>
          <cell r="CW20">
            <v>733.95936500000005</v>
          </cell>
          <cell r="CX20">
            <v>1299.6664679999999</v>
          </cell>
          <cell r="CY20">
            <v>891.96074699999997</v>
          </cell>
          <cell r="CZ20">
            <v>5204</v>
          </cell>
          <cell r="DA20">
            <v>16</v>
          </cell>
          <cell r="DB20">
            <v>144</v>
          </cell>
          <cell r="DC20">
            <v>272</v>
          </cell>
          <cell r="DD20">
            <v>720</v>
          </cell>
          <cell r="DE20">
            <v>1040</v>
          </cell>
          <cell r="DF20">
            <v>1004</v>
          </cell>
          <cell r="DG20">
            <v>936</v>
          </cell>
          <cell r="DH20">
            <v>1072</v>
          </cell>
          <cell r="DI20">
            <v>2731.971031</v>
          </cell>
          <cell r="DJ20">
            <v>15.722791000000001</v>
          </cell>
          <cell r="DK20">
            <v>96.064783000000006</v>
          </cell>
          <cell r="DL20">
            <v>291.11601000000002</v>
          </cell>
          <cell r="DM20">
            <v>541.31539899999996</v>
          </cell>
          <cell r="DN20">
            <v>173.97378</v>
          </cell>
          <cell r="DO20">
            <v>612.62504999999999</v>
          </cell>
          <cell r="DP20">
            <v>661.59949800000004</v>
          </cell>
          <cell r="DQ20">
            <v>339.55372</v>
          </cell>
          <cell r="DR20">
            <v>2805.736081</v>
          </cell>
          <cell r="DS20">
            <v>12.089981</v>
          </cell>
          <cell r="DT20">
            <v>28.028244999999998</v>
          </cell>
          <cell r="DU20">
            <v>113.293874</v>
          </cell>
          <cell r="DV20">
            <v>452.73210399999999</v>
          </cell>
          <cell r="DW20">
            <v>887.78356599999995</v>
          </cell>
          <cell r="DX20">
            <v>121.33431400000001</v>
          </cell>
          <cell r="DY20">
            <v>638.06696999999997</v>
          </cell>
          <cell r="DZ20">
            <v>552.40702599999997</v>
          </cell>
          <cell r="EA20">
            <v>776.83168899999998</v>
          </cell>
          <cell r="EB20">
            <v>0</v>
          </cell>
          <cell r="EC20">
            <v>0</v>
          </cell>
          <cell r="ED20">
            <v>0</v>
          </cell>
          <cell r="EE20">
            <v>65.918368000000001</v>
          </cell>
          <cell r="EF20">
            <v>72.423304000000002</v>
          </cell>
          <cell r="EG20">
            <v>96.417001999999997</v>
          </cell>
          <cell r="EH20">
            <v>0</v>
          </cell>
          <cell r="EI20">
            <v>542.07301500000005</v>
          </cell>
          <cell r="EJ20">
            <v>2950.3972450000001</v>
          </cell>
          <cell r="EK20">
            <v>19.574086999999999</v>
          </cell>
          <cell r="EL20">
            <v>108.046835</v>
          </cell>
          <cell r="EM20">
            <v>354.53191500000003</v>
          </cell>
          <cell r="EN20">
            <v>807.27836600000001</v>
          </cell>
          <cell r="EO20">
            <v>860.89417000000003</v>
          </cell>
          <cell r="EP20">
            <v>591.84210700000006</v>
          </cell>
          <cell r="EQ20">
            <v>15.839142000000001</v>
          </cell>
          <cell r="ER20">
            <v>192.390624</v>
          </cell>
          <cell r="ES20">
            <v>1810.4781780000001</v>
          </cell>
          <cell r="ET20">
            <v>8.2386850000000003</v>
          </cell>
          <cell r="EU20">
            <v>16.046192999999999</v>
          </cell>
          <cell r="EV20">
            <v>49.877969</v>
          </cell>
          <cell r="EW20">
            <v>120.85077</v>
          </cell>
          <cell r="EX20">
            <v>128.43987200000001</v>
          </cell>
          <cell r="EY20">
            <v>45.700254999999999</v>
          </cell>
          <cell r="EZ20">
            <v>1283.8273260000001</v>
          </cell>
          <cell r="FA20">
            <v>157.497108</v>
          </cell>
        </row>
        <row r="21">
          <cell r="A21" t="str">
            <v>37172</v>
          </cell>
          <cell r="B21" t="str">
            <v>Notre-Dame-d'Oé</v>
          </cell>
          <cell r="C21" t="str">
            <v>Tour(s)plus</v>
          </cell>
          <cell r="D21">
            <v>3489</v>
          </cell>
          <cell r="E21">
            <v>3330</v>
          </cell>
          <cell r="F21">
            <v>2557</v>
          </cell>
          <cell r="G21">
            <v>2155</v>
          </cell>
          <cell r="H21">
            <v>1149</v>
          </cell>
          <cell r="I21">
            <v>568</v>
          </cell>
          <cell r="J21">
            <v>7.73</v>
          </cell>
          <cell r="K21">
            <v>222</v>
          </cell>
          <cell r="L21">
            <v>299</v>
          </cell>
          <cell r="M21">
            <v>199</v>
          </cell>
          <cell r="N21">
            <v>152</v>
          </cell>
          <cell r="O21">
            <v>81</v>
          </cell>
          <cell r="P21">
            <v>86</v>
          </cell>
          <cell r="Q21">
            <v>73</v>
          </cell>
          <cell r="R21">
            <v>79</v>
          </cell>
          <cell r="S21">
            <v>50</v>
          </cell>
          <cell r="T21">
            <v>50</v>
          </cell>
          <cell r="U21">
            <v>31</v>
          </cell>
          <cell r="V21">
            <v>33</v>
          </cell>
          <cell r="W21">
            <v>17</v>
          </cell>
          <cell r="X21">
            <v>29</v>
          </cell>
          <cell r="Y21">
            <v>46</v>
          </cell>
          <cell r="Z21">
            <v>32</v>
          </cell>
          <cell r="AA21">
            <v>28</v>
          </cell>
          <cell r="AB21">
            <v>39</v>
          </cell>
          <cell r="AC21">
            <v>31</v>
          </cell>
          <cell r="AD21">
            <v>30</v>
          </cell>
          <cell r="AE21">
            <v>13</v>
          </cell>
          <cell r="AF21">
            <v>9</v>
          </cell>
          <cell r="AG21">
            <v>11</v>
          </cell>
          <cell r="AH21">
            <v>10</v>
          </cell>
          <cell r="AI21">
            <v>7</v>
          </cell>
          <cell r="AJ21">
            <v>14</v>
          </cell>
          <cell r="AK21">
            <v>16</v>
          </cell>
          <cell r="AL21">
            <v>14</v>
          </cell>
          <cell r="AM21">
            <v>14</v>
          </cell>
          <cell r="AN21">
            <v>6</v>
          </cell>
          <cell r="AO21">
            <v>671.78102799999999</v>
          </cell>
          <cell r="AP21">
            <v>545.27094599999998</v>
          </cell>
          <cell r="AQ21">
            <v>732.97500700000001</v>
          </cell>
          <cell r="AR21">
            <v>929.50809400000003</v>
          </cell>
          <cell r="AS21">
            <v>483.02811700000001</v>
          </cell>
          <cell r="AT21">
            <v>126.436808</v>
          </cell>
          <cell r="AU21">
            <v>760</v>
          </cell>
          <cell r="AV21">
            <v>567</v>
          </cell>
          <cell r="AW21">
            <v>823</v>
          </cell>
          <cell r="AX21">
            <v>816</v>
          </cell>
          <cell r="AY21">
            <v>282</v>
          </cell>
          <cell r="AZ21">
            <v>82</v>
          </cell>
          <cell r="BA21">
            <v>1746.4572559999999</v>
          </cell>
          <cell r="BB21">
            <v>332.92104499999999</v>
          </cell>
          <cell r="BC21">
            <v>304.23856899999998</v>
          </cell>
          <cell r="BD21">
            <v>353.64015899999998</v>
          </cell>
          <cell r="BE21">
            <v>456.35785299999998</v>
          </cell>
          <cell r="BF21">
            <v>236.08122700000001</v>
          </cell>
          <cell r="BG21">
            <v>60.255040999999999</v>
          </cell>
          <cell r="BH21">
            <v>2.9633630000000002</v>
          </cell>
          <cell r="BI21">
            <v>490.96705500000002</v>
          </cell>
          <cell r="BJ21">
            <v>1056.944902</v>
          </cell>
          <cell r="BK21">
            <v>198.5453</v>
          </cell>
          <cell r="BL21">
            <v>1742.5427440000001</v>
          </cell>
          <cell r="BM21">
            <v>338.859983</v>
          </cell>
          <cell r="BN21">
            <v>241.032377</v>
          </cell>
          <cell r="BO21">
            <v>379.33484800000002</v>
          </cell>
          <cell r="BP21">
            <v>473.15024099999999</v>
          </cell>
          <cell r="BQ21">
            <v>246.94689</v>
          </cell>
          <cell r="BR21">
            <v>59.267254000000001</v>
          </cell>
          <cell r="BS21">
            <v>3.9511500000000002</v>
          </cell>
          <cell r="BT21">
            <v>464.32121599999999</v>
          </cell>
          <cell r="BU21">
            <v>1094.4930420000001</v>
          </cell>
          <cell r="BV21">
            <v>183.728486</v>
          </cell>
          <cell r="BW21">
            <v>3293.405851</v>
          </cell>
          <cell r="BX21">
            <v>2464.529963</v>
          </cell>
          <cell r="BY21">
            <v>155.20477099999999</v>
          </cell>
          <cell r="BZ21">
            <v>471.174666</v>
          </cell>
          <cell r="CA21">
            <v>28.645838999999999</v>
          </cell>
          <cell r="CB21">
            <v>147.18034599999999</v>
          </cell>
          <cell r="CC21">
            <v>2.9633630000000002</v>
          </cell>
          <cell r="CD21">
            <v>23.706900999999998</v>
          </cell>
          <cell r="CE21">
            <v>479.15024099999999</v>
          </cell>
          <cell r="CF21">
            <v>46.499290000000002</v>
          </cell>
          <cell r="CG21">
            <v>97.790968000000007</v>
          </cell>
          <cell r="CH21">
            <v>441.55325199999999</v>
          </cell>
          <cell r="CI21">
            <v>23.719114000000001</v>
          </cell>
          <cell r="CJ21">
            <v>81.986367999999999</v>
          </cell>
          <cell r="CK21">
            <v>1432.3286000000001</v>
          </cell>
          <cell r="CL21">
            <v>77.084067000000005</v>
          </cell>
          <cell r="CM21">
            <v>429.687589</v>
          </cell>
          <cell r="CN21">
            <v>943.33712000000003</v>
          </cell>
          <cell r="CO21">
            <v>7.9023000000000003</v>
          </cell>
          <cell r="CP21">
            <v>64.206191000000004</v>
          </cell>
          <cell r="CQ21">
            <v>2801.3655210000002</v>
          </cell>
          <cell r="CR21">
            <v>7.9023000000000003</v>
          </cell>
          <cell r="CS21">
            <v>63.218404</v>
          </cell>
          <cell r="CT21">
            <v>233.117864</v>
          </cell>
          <cell r="CU21">
            <v>525.50298199999997</v>
          </cell>
          <cell r="CV21">
            <v>545.25873300000001</v>
          </cell>
          <cell r="CW21">
            <v>418.82192600000002</v>
          </cell>
          <cell r="CX21">
            <v>651.93979000000002</v>
          </cell>
          <cell r="CY21">
            <v>355.603522</v>
          </cell>
          <cell r="CZ21">
            <v>2601</v>
          </cell>
          <cell r="DA21">
            <v>4</v>
          </cell>
          <cell r="DB21">
            <v>96</v>
          </cell>
          <cell r="DC21">
            <v>168</v>
          </cell>
          <cell r="DD21">
            <v>452</v>
          </cell>
          <cell r="DE21">
            <v>572</v>
          </cell>
          <cell r="DF21">
            <v>416</v>
          </cell>
          <cell r="DG21">
            <v>392</v>
          </cell>
          <cell r="DH21">
            <v>501</v>
          </cell>
          <cell r="DI21">
            <v>1418.462937</v>
          </cell>
          <cell r="DJ21">
            <v>3.9511500000000002</v>
          </cell>
          <cell r="DK21">
            <v>55.316102999999998</v>
          </cell>
          <cell r="DL21">
            <v>158.04601</v>
          </cell>
          <cell r="DM21">
            <v>225.215564</v>
          </cell>
          <cell r="DN21">
            <v>134.33910800000001</v>
          </cell>
          <cell r="DO21">
            <v>367.45697200000001</v>
          </cell>
          <cell r="DP21">
            <v>320.04316999999998</v>
          </cell>
          <cell r="DQ21">
            <v>154.09485900000001</v>
          </cell>
          <cell r="DR21">
            <v>1382.9025839999999</v>
          </cell>
          <cell r="DS21">
            <v>3.9511500000000002</v>
          </cell>
          <cell r="DT21">
            <v>7.9023000000000003</v>
          </cell>
          <cell r="DU21">
            <v>75.071854999999999</v>
          </cell>
          <cell r="DV21">
            <v>300.287418</v>
          </cell>
          <cell r="DW21">
            <v>410.919625</v>
          </cell>
          <cell r="DX21">
            <v>51.364953</v>
          </cell>
          <cell r="DY21">
            <v>331.89661999999998</v>
          </cell>
          <cell r="DZ21">
            <v>201.50866199999999</v>
          </cell>
          <cell r="EA21">
            <v>426.72422599999999</v>
          </cell>
          <cell r="EB21">
            <v>0</v>
          </cell>
          <cell r="EC21">
            <v>0</v>
          </cell>
          <cell r="ED21">
            <v>0</v>
          </cell>
          <cell r="EE21">
            <v>31.609202</v>
          </cell>
          <cell r="EF21">
            <v>79.023004999999998</v>
          </cell>
          <cell r="EG21">
            <v>63.218404</v>
          </cell>
          <cell r="EH21">
            <v>0</v>
          </cell>
          <cell r="EI21">
            <v>252.873615</v>
          </cell>
          <cell r="EJ21">
            <v>1477.73019</v>
          </cell>
          <cell r="EK21">
            <v>7.9023000000000003</v>
          </cell>
          <cell r="EL21">
            <v>43.462653000000003</v>
          </cell>
          <cell r="EM21">
            <v>189.65521200000001</v>
          </cell>
          <cell r="EN21">
            <v>430.67537600000003</v>
          </cell>
          <cell r="EO21">
            <v>399.06617399999999</v>
          </cell>
          <cell r="EP21">
            <v>335.84777100000002</v>
          </cell>
          <cell r="EQ21">
            <v>11.853451</v>
          </cell>
          <cell r="ER21">
            <v>59.267254000000001</v>
          </cell>
          <cell r="ES21">
            <v>896.91110500000002</v>
          </cell>
          <cell r="ET21">
            <v>0</v>
          </cell>
          <cell r="EU21">
            <v>19.755751</v>
          </cell>
          <cell r="EV21">
            <v>43.462653000000003</v>
          </cell>
          <cell r="EW21">
            <v>63.218404</v>
          </cell>
          <cell r="EX21">
            <v>67.169554000000005</v>
          </cell>
          <cell r="EY21">
            <v>19.755751</v>
          </cell>
          <cell r="EZ21">
            <v>640.08633899999995</v>
          </cell>
          <cell r="FA21">
            <v>43.462653000000003</v>
          </cell>
        </row>
        <row r="22">
          <cell r="A22" t="str">
            <v>37179</v>
          </cell>
          <cell r="B22" t="str">
            <v>Parçay-Meslay</v>
          </cell>
          <cell r="C22" t="str">
            <v>Vouvrillon</v>
          </cell>
          <cell r="D22">
            <v>2364</v>
          </cell>
          <cell r="E22">
            <v>2195</v>
          </cell>
          <cell r="F22">
            <v>1757</v>
          </cell>
          <cell r="G22">
            <v>1538</v>
          </cell>
          <cell r="H22">
            <v>1112</v>
          </cell>
          <cell r="I22">
            <v>781</v>
          </cell>
          <cell r="J22">
            <v>14.07</v>
          </cell>
          <cell r="K22">
            <v>153</v>
          </cell>
          <cell r="L22">
            <v>231</v>
          </cell>
          <cell r="M22">
            <v>150</v>
          </cell>
          <cell r="N22">
            <v>119</v>
          </cell>
          <cell r="O22">
            <v>109</v>
          </cell>
          <cell r="P22">
            <v>67</v>
          </cell>
          <cell r="Q22">
            <v>82</v>
          </cell>
          <cell r="R22">
            <v>70</v>
          </cell>
          <cell r="S22">
            <v>55</v>
          </cell>
          <cell r="T22">
            <v>48</v>
          </cell>
          <cell r="U22">
            <v>21</v>
          </cell>
          <cell r="V22">
            <v>23</v>
          </cell>
          <cell r="W22">
            <v>24</v>
          </cell>
          <cell r="X22">
            <v>15</v>
          </cell>
          <cell r="Y22">
            <v>25</v>
          </cell>
          <cell r="Z22">
            <v>24</v>
          </cell>
          <cell r="AA22">
            <v>18</v>
          </cell>
          <cell r="AB22">
            <v>24</v>
          </cell>
          <cell r="AC22">
            <v>23</v>
          </cell>
          <cell r="AD22">
            <v>29</v>
          </cell>
          <cell r="AE22">
            <v>9</v>
          </cell>
          <cell r="AF22">
            <v>7</v>
          </cell>
          <cell r="AG22">
            <v>6</v>
          </cell>
          <cell r="AH22">
            <v>9</v>
          </cell>
          <cell r="AI22">
            <v>14</v>
          </cell>
          <cell r="AJ22">
            <v>10</v>
          </cell>
          <cell r="AK22">
            <v>9</v>
          </cell>
          <cell r="AL22">
            <v>10</v>
          </cell>
          <cell r="AM22">
            <v>9</v>
          </cell>
          <cell r="AN22">
            <v>10</v>
          </cell>
          <cell r="AO22">
            <v>509.543769</v>
          </cell>
          <cell r="AP22">
            <v>352.60534999999999</v>
          </cell>
          <cell r="AQ22">
            <v>581.39938199999995</v>
          </cell>
          <cell r="AR22">
            <v>549.07200699999999</v>
          </cell>
          <cell r="AS22">
            <v>258.00445500000001</v>
          </cell>
          <cell r="AT22">
            <v>113.37503700000001</v>
          </cell>
          <cell r="AU22">
            <v>496</v>
          </cell>
          <cell r="AV22">
            <v>413</v>
          </cell>
          <cell r="AW22">
            <v>545</v>
          </cell>
          <cell r="AX22">
            <v>442</v>
          </cell>
          <cell r="AY22">
            <v>225</v>
          </cell>
          <cell r="AZ22">
            <v>74</v>
          </cell>
          <cell r="BA22">
            <v>1193.085458</v>
          </cell>
          <cell r="BB22">
            <v>262.93200200000001</v>
          </cell>
          <cell r="BC22">
            <v>187.113721</v>
          </cell>
          <cell r="BD22">
            <v>285.69270899999998</v>
          </cell>
          <cell r="BE22">
            <v>272.703149</v>
          </cell>
          <cell r="BF22">
            <v>127.53151</v>
          </cell>
          <cell r="BG22">
            <v>53.796329</v>
          </cell>
          <cell r="BH22">
            <v>3.3160400000000001</v>
          </cell>
          <cell r="BI22">
            <v>352.204655</v>
          </cell>
          <cell r="BJ22">
            <v>702.19843000000003</v>
          </cell>
          <cell r="BK22">
            <v>138.68237400000001</v>
          </cell>
          <cell r="BL22">
            <v>1170.914542</v>
          </cell>
          <cell r="BM22">
            <v>246.61176699999999</v>
          </cell>
          <cell r="BN22">
            <v>165.49162999999999</v>
          </cell>
          <cell r="BO22">
            <v>295.70667300000002</v>
          </cell>
          <cell r="BP22">
            <v>276.36885899999999</v>
          </cell>
          <cell r="BQ22">
            <v>130.47294500000001</v>
          </cell>
          <cell r="BR22">
            <v>49.787765999999998</v>
          </cell>
          <cell r="BS22">
            <v>6.4749020000000002</v>
          </cell>
          <cell r="BT22">
            <v>314.202113</v>
          </cell>
          <cell r="BU22">
            <v>724.81132100000002</v>
          </cell>
          <cell r="BV22">
            <v>131.90110799999999</v>
          </cell>
          <cell r="BW22">
            <v>2220.5989399999999</v>
          </cell>
          <cell r="BX22">
            <v>1565.3618140000001</v>
          </cell>
          <cell r="BY22">
            <v>98.973241000000002</v>
          </cell>
          <cell r="BZ22">
            <v>410.66514699999999</v>
          </cell>
          <cell r="CA22">
            <v>16.408619999999999</v>
          </cell>
          <cell r="CB22">
            <v>116.837788</v>
          </cell>
          <cell r="CC22">
            <v>0</v>
          </cell>
          <cell r="CD22">
            <v>12.35233</v>
          </cell>
          <cell r="CE22">
            <v>366.14270900000002</v>
          </cell>
          <cell r="CF22">
            <v>19.435257</v>
          </cell>
          <cell r="CG22">
            <v>120.291173</v>
          </cell>
          <cell r="CH22">
            <v>258.16548399999999</v>
          </cell>
          <cell r="CI22">
            <v>12.600482</v>
          </cell>
          <cell r="CJ22">
            <v>60.632254000000003</v>
          </cell>
          <cell r="CK22">
            <v>1076.722356</v>
          </cell>
          <cell r="CL22">
            <v>56.140535999999997</v>
          </cell>
          <cell r="CM22">
            <v>332.62322</v>
          </cell>
          <cell r="CN22">
            <v>519.56839100000002</v>
          </cell>
          <cell r="CO22">
            <v>10.796965999999999</v>
          </cell>
          <cell r="CP22">
            <v>42.717238000000002</v>
          </cell>
          <cell r="CQ22">
            <v>1832.6815059999999</v>
          </cell>
          <cell r="CR22">
            <v>20.613582999999998</v>
          </cell>
          <cell r="CS22">
            <v>62.662241000000002</v>
          </cell>
          <cell r="CT22">
            <v>161.64545899999999</v>
          </cell>
          <cell r="CU22">
            <v>315.17315200000002</v>
          </cell>
          <cell r="CV22">
            <v>336.27987000000002</v>
          </cell>
          <cell r="CW22">
            <v>306.468774</v>
          </cell>
          <cell r="CX22">
            <v>378.62456400000002</v>
          </cell>
          <cell r="CY22">
            <v>251.21386200000001</v>
          </cell>
          <cell r="CZ22">
            <v>1712</v>
          </cell>
          <cell r="DA22">
            <v>20</v>
          </cell>
          <cell r="DB22">
            <v>76</v>
          </cell>
          <cell r="DC22">
            <v>132</v>
          </cell>
          <cell r="DD22">
            <v>228</v>
          </cell>
          <cell r="DE22">
            <v>376</v>
          </cell>
          <cell r="DF22">
            <v>256</v>
          </cell>
          <cell r="DG22">
            <v>296</v>
          </cell>
          <cell r="DH22">
            <v>328</v>
          </cell>
          <cell r="DI22">
            <v>933.04532200000006</v>
          </cell>
          <cell r="DJ22">
            <v>20.613582999999998</v>
          </cell>
          <cell r="DK22">
            <v>37.277510999999997</v>
          </cell>
          <cell r="DL22">
            <v>123.62153600000001</v>
          </cell>
          <cell r="DM22">
            <v>161.97702699999999</v>
          </cell>
          <cell r="DN22">
            <v>54.084184999999998</v>
          </cell>
          <cell r="DO22">
            <v>247.58828600000001</v>
          </cell>
          <cell r="DP22">
            <v>210.48818499999999</v>
          </cell>
          <cell r="DQ22">
            <v>77.395009000000002</v>
          </cell>
          <cell r="DR22">
            <v>899.63618399999996</v>
          </cell>
          <cell r="DS22">
            <v>0</v>
          </cell>
          <cell r="DT22">
            <v>25.384730000000001</v>
          </cell>
          <cell r="DU22">
            <v>38.023923000000003</v>
          </cell>
          <cell r="DV22">
            <v>153.19612499999999</v>
          </cell>
          <cell r="DW22">
            <v>282.19568600000002</v>
          </cell>
          <cell r="DX22">
            <v>58.880488</v>
          </cell>
          <cell r="DY22">
            <v>168.13637900000001</v>
          </cell>
          <cell r="DZ22">
            <v>173.81885299999999</v>
          </cell>
          <cell r="EA22">
            <v>224.86376999999999</v>
          </cell>
          <cell r="EB22">
            <v>4.2926679999999999</v>
          </cell>
          <cell r="EC22">
            <v>0</v>
          </cell>
          <cell r="ED22">
            <v>12.506726</v>
          </cell>
          <cell r="EE22">
            <v>24.767147000000001</v>
          </cell>
          <cell r="EF22">
            <v>20.724316999999999</v>
          </cell>
          <cell r="EG22">
            <v>49.465463999999997</v>
          </cell>
          <cell r="EH22">
            <v>0</v>
          </cell>
          <cell r="EI22">
            <v>113.10744800000001</v>
          </cell>
          <cell r="EJ22">
            <v>1061.9343309999999</v>
          </cell>
          <cell r="EK22">
            <v>7.8605510000000001</v>
          </cell>
          <cell r="EL22">
            <v>45.491568999999998</v>
          </cell>
          <cell r="EM22">
            <v>136.38570100000001</v>
          </cell>
          <cell r="EN22">
            <v>277.77430800000002</v>
          </cell>
          <cell r="EO22">
            <v>286.003128</v>
          </cell>
          <cell r="EP22">
            <v>231.114836</v>
          </cell>
          <cell r="EQ22">
            <v>3.5953379999999999</v>
          </cell>
          <cell r="ER22">
            <v>73.708900999999997</v>
          </cell>
          <cell r="ES22">
            <v>545.88340500000004</v>
          </cell>
          <cell r="ET22">
            <v>8.4603640000000002</v>
          </cell>
          <cell r="EU22">
            <v>17.170672</v>
          </cell>
          <cell r="EV22">
            <v>12.753031999999999</v>
          </cell>
          <cell r="EW22">
            <v>12.631698</v>
          </cell>
          <cell r="EX22">
            <v>29.552426000000001</v>
          </cell>
          <cell r="EY22">
            <v>25.888473999999999</v>
          </cell>
          <cell r="EZ22">
            <v>375.02922599999999</v>
          </cell>
          <cell r="FA22">
            <v>64.397514000000001</v>
          </cell>
        </row>
        <row r="23">
          <cell r="A23" t="str">
            <v>37194</v>
          </cell>
          <cell r="B23" t="str">
            <v>Reugny</v>
          </cell>
          <cell r="C23" t="str">
            <v>Vouvrillon</v>
          </cell>
          <cell r="D23">
            <v>1552</v>
          </cell>
          <cell r="E23">
            <v>1417</v>
          </cell>
          <cell r="F23">
            <v>1289</v>
          </cell>
          <cell r="G23">
            <v>1181</v>
          </cell>
          <cell r="H23">
            <v>878</v>
          </cell>
          <cell r="I23">
            <v>947</v>
          </cell>
          <cell r="J23">
            <v>29.72</v>
          </cell>
          <cell r="K23">
            <v>128</v>
          </cell>
          <cell r="L23">
            <v>102</v>
          </cell>
          <cell r="M23">
            <v>108</v>
          </cell>
          <cell r="N23">
            <v>97</v>
          </cell>
          <cell r="O23">
            <v>75</v>
          </cell>
          <cell r="P23">
            <v>82</v>
          </cell>
          <cell r="Q23">
            <v>111</v>
          </cell>
          <cell r="R23">
            <v>97</v>
          </cell>
          <cell r="S23">
            <v>106</v>
          </cell>
          <cell r="T23">
            <v>96</v>
          </cell>
          <cell r="U23">
            <v>15</v>
          </cell>
          <cell r="V23">
            <v>19</v>
          </cell>
          <cell r="W23">
            <v>20</v>
          </cell>
          <cell r="X23">
            <v>15</v>
          </cell>
          <cell r="Y23">
            <v>22</v>
          </cell>
          <cell r="Z23">
            <v>26</v>
          </cell>
          <cell r="AA23">
            <v>17</v>
          </cell>
          <cell r="AB23">
            <v>13</v>
          </cell>
          <cell r="AC23">
            <v>15</v>
          </cell>
          <cell r="AD23">
            <v>12</v>
          </cell>
          <cell r="AE23">
            <v>9</v>
          </cell>
          <cell r="AF23">
            <v>10</v>
          </cell>
          <cell r="AG23">
            <v>9</v>
          </cell>
          <cell r="AH23">
            <v>7</v>
          </cell>
          <cell r="AI23">
            <v>11</v>
          </cell>
          <cell r="AJ23">
            <v>17</v>
          </cell>
          <cell r="AK23">
            <v>16</v>
          </cell>
          <cell r="AL23">
            <v>11</v>
          </cell>
          <cell r="AM23">
            <v>11</v>
          </cell>
          <cell r="AN23">
            <v>14</v>
          </cell>
          <cell r="AO23">
            <v>342</v>
          </cell>
          <cell r="AP23">
            <v>227</v>
          </cell>
          <cell r="AQ23">
            <v>349</v>
          </cell>
          <cell r="AR23">
            <v>344</v>
          </cell>
          <cell r="AS23">
            <v>175</v>
          </cell>
          <cell r="AT23">
            <v>115</v>
          </cell>
          <cell r="AU23">
            <v>267</v>
          </cell>
          <cell r="AV23">
            <v>260</v>
          </cell>
          <cell r="AW23">
            <v>322</v>
          </cell>
          <cell r="AX23">
            <v>278</v>
          </cell>
          <cell r="AY23">
            <v>192</v>
          </cell>
          <cell r="AZ23">
            <v>98</v>
          </cell>
          <cell r="BA23">
            <v>773</v>
          </cell>
          <cell r="BB23">
            <v>181</v>
          </cell>
          <cell r="BC23">
            <v>116</v>
          </cell>
          <cell r="BD23">
            <v>177</v>
          </cell>
          <cell r="BE23">
            <v>173</v>
          </cell>
          <cell r="BF23">
            <v>85</v>
          </cell>
          <cell r="BG23">
            <v>38</v>
          </cell>
          <cell r="BH23">
            <v>3</v>
          </cell>
          <cell r="BI23">
            <v>228</v>
          </cell>
          <cell r="BJ23">
            <v>447</v>
          </cell>
          <cell r="BK23">
            <v>98</v>
          </cell>
          <cell r="BL23">
            <v>779</v>
          </cell>
          <cell r="BM23">
            <v>161</v>
          </cell>
          <cell r="BN23">
            <v>111</v>
          </cell>
          <cell r="BO23">
            <v>172</v>
          </cell>
          <cell r="BP23">
            <v>171</v>
          </cell>
          <cell r="BQ23">
            <v>90</v>
          </cell>
          <cell r="BR23">
            <v>70</v>
          </cell>
          <cell r="BS23">
            <v>4</v>
          </cell>
          <cell r="BT23">
            <v>207</v>
          </cell>
          <cell r="BU23">
            <v>444</v>
          </cell>
          <cell r="BV23">
            <v>128</v>
          </cell>
          <cell r="BW23">
            <v>1443</v>
          </cell>
          <cell r="BX23">
            <v>984</v>
          </cell>
          <cell r="BY23">
            <v>81</v>
          </cell>
          <cell r="BZ23">
            <v>265</v>
          </cell>
          <cell r="CA23">
            <v>21</v>
          </cell>
          <cell r="CB23">
            <v>83</v>
          </cell>
          <cell r="CC23">
            <v>1</v>
          </cell>
          <cell r="CD23">
            <v>8</v>
          </cell>
          <cell r="CE23">
            <v>233</v>
          </cell>
          <cell r="CF23">
            <v>19</v>
          </cell>
          <cell r="CG23">
            <v>77</v>
          </cell>
          <cell r="CH23">
            <v>151</v>
          </cell>
          <cell r="CI23">
            <v>3</v>
          </cell>
          <cell r="CJ23">
            <v>28</v>
          </cell>
          <cell r="CK23">
            <v>681</v>
          </cell>
          <cell r="CL23">
            <v>51</v>
          </cell>
          <cell r="CM23">
            <v>227</v>
          </cell>
          <cell r="CN23">
            <v>378</v>
          </cell>
          <cell r="CO23">
            <v>8</v>
          </cell>
          <cell r="CP23">
            <v>46</v>
          </cell>
          <cell r="CQ23">
            <v>1236</v>
          </cell>
          <cell r="CR23">
            <v>36</v>
          </cell>
          <cell r="CS23">
            <v>56</v>
          </cell>
          <cell r="CT23">
            <v>136</v>
          </cell>
          <cell r="CU23">
            <v>184</v>
          </cell>
          <cell r="CV23">
            <v>192</v>
          </cell>
          <cell r="CW23">
            <v>176</v>
          </cell>
          <cell r="CX23">
            <v>276</v>
          </cell>
          <cell r="CY23">
            <v>180</v>
          </cell>
          <cell r="CZ23">
            <v>1140</v>
          </cell>
          <cell r="DA23">
            <v>20</v>
          </cell>
          <cell r="DB23">
            <v>52</v>
          </cell>
          <cell r="DC23">
            <v>56</v>
          </cell>
          <cell r="DD23">
            <v>164</v>
          </cell>
          <cell r="DE23">
            <v>172</v>
          </cell>
          <cell r="DF23">
            <v>168</v>
          </cell>
          <cell r="DG23">
            <v>272</v>
          </cell>
          <cell r="DH23">
            <v>236</v>
          </cell>
          <cell r="DI23">
            <v>620</v>
          </cell>
          <cell r="DJ23">
            <v>36</v>
          </cell>
          <cell r="DK23">
            <v>40</v>
          </cell>
          <cell r="DL23">
            <v>76</v>
          </cell>
          <cell r="DM23">
            <v>100</v>
          </cell>
          <cell r="DN23">
            <v>24</v>
          </cell>
          <cell r="DO23">
            <v>128</v>
          </cell>
          <cell r="DP23">
            <v>136</v>
          </cell>
          <cell r="DQ23">
            <v>80</v>
          </cell>
          <cell r="DR23">
            <v>616</v>
          </cell>
          <cell r="DS23">
            <v>0</v>
          </cell>
          <cell r="DT23">
            <v>16</v>
          </cell>
          <cell r="DU23">
            <v>60</v>
          </cell>
          <cell r="DV23">
            <v>84</v>
          </cell>
          <cell r="DW23">
            <v>168</v>
          </cell>
          <cell r="DX23">
            <v>48</v>
          </cell>
          <cell r="DY23">
            <v>140</v>
          </cell>
          <cell r="DZ23">
            <v>100</v>
          </cell>
          <cell r="EA23">
            <v>172</v>
          </cell>
          <cell r="EB23">
            <v>0</v>
          </cell>
          <cell r="EC23">
            <v>0</v>
          </cell>
          <cell r="ED23">
            <v>0</v>
          </cell>
          <cell r="EE23">
            <v>0</v>
          </cell>
          <cell r="EF23">
            <v>16</v>
          </cell>
          <cell r="EG23">
            <v>32</v>
          </cell>
          <cell r="EH23">
            <v>0</v>
          </cell>
          <cell r="EI23">
            <v>124</v>
          </cell>
          <cell r="EJ23">
            <v>664</v>
          </cell>
          <cell r="EK23">
            <v>28</v>
          </cell>
          <cell r="EL23">
            <v>32</v>
          </cell>
          <cell r="EM23">
            <v>112</v>
          </cell>
          <cell r="EN23">
            <v>176</v>
          </cell>
          <cell r="EO23">
            <v>156</v>
          </cell>
          <cell r="EP23">
            <v>128</v>
          </cell>
          <cell r="EQ23">
            <v>12</v>
          </cell>
          <cell r="ER23">
            <v>20</v>
          </cell>
          <cell r="ES23">
            <v>400</v>
          </cell>
          <cell r="ET23">
            <v>8</v>
          </cell>
          <cell r="EU23">
            <v>24</v>
          </cell>
          <cell r="EV23">
            <v>24</v>
          </cell>
          <cell r="EW23">
            <v>8</v>
          </cell>
          <cell r="EX23">
            <v>20</v>
          </cell>
          <cell r="EY23">
            <v>16</v>
          </cell>
          <cell r="EZ23">
            <v>264</v>
          </cell>
          <cell r="FA23">
            <v>36</v>
          </cell>
        </row>
        <row r="24">
          <cell r="A24" t="str">
            <v>37195</v>
          </cell>
          <cell r="B24" t="str">
            <v>La Riche</v>
          </cell>
          <cell r="C24" t="str">
            <v>Tour(s)plus</v>
          </cell>
          <cell r="D24">
            <v>9612</v>
          </cell>
          <cell r="E24">
            <v>8599</v>
          </cell>
          <cell r="F24">
            <v>7838</v>
          </cell>
          <cell r="G24">
            <v>7261</v>
          </cell>
          <cell r="H24">
            <v>6670</v>
          </cell>
          <cell r="I24">
            <v>6331</v>
          </cell>
          <cell r="J24">
            <v>8.17</v>
          </cell>
          <cell r="K24">
            <v>988</v>
          </cell>
          <cell r="L24">
            <v>1114</v>
          </cell>
          <cell r="M24">
            <v>929</v>
          </cell>
          <cell r="N24">
            <v>954</v>
          </cell>
          <cell r="O24">
            <v>1122</v>
          </cell>
          <cell r="P24">
            <v>484</v>
          </cell>
          <cell r="Q24">
            <v>592</v>
          </cell>
          <cell r="R24">
            <v>522</v>
          </cell>
          <cell r="S24">
            <v>400</v>
          </cell>
          <cell r="T24">
            <v>422</v>
          </cell>
          <cell r="U24">
            <v>147</v>
          </cell>
          <cell r="V24">
            <v>133</v>
          </cell>
          <cell r="W24">
            <v>129</v>
          </cell>
          <cell r="X24">
            <v>135</v>
          </cell>
          <cell r="Y24">
            <v>139</v>
          </cell>
          <cell r="Z24">
            <v>145</v>
          </cell>
          <cell r="AA24">
            <v>148</v>
          </cell>
          <cell r="AB24">
            <v>154</v>
          </cell>
          <cell r="AC24">
            <v>138</v>
          </cell>
          <cell r="AD24">
            <v>125</v>
          </cell>
          <cell r="AE24">
            <v>67</v>
          </cell>
          <cell r="AF24">
            <v>70</v>
          </cell>
          <cell r="AG24">
            <v>72</v>
          </cell>
          <cell r="AH24">
            <v>65</v>
          </cell>
          <cell r="AI24">
            <v>64</v>
          </cell>
          <cell r="AJ24">
            <v>69</v>
          </cell>
          <cell r="AK24">
            <v>72</v>
          </cell>
          <cell r="AL24">
            <v>71</v>
          </cell>
          <cell r="AM24">
            <v>71</v>
          </cell>
          <cell r="AN24">
            <v>72</v>
          </cell>
          <cell r="AO24">
            <v>1622</v>
          </cell>
          <cell r="AP24">
            <v>2608</v>
          </cell>
          <cell r="AQ24">
            <v>1973</v>
          </cell>
          <cell r="AR24">
            <v>1774</v>
          </cell>
          <cell r="AS24">
            <v>930</v>
          </cell>
          <cell r="AT24">
            <v>705</v>
          </cell>
          <cell r="AU24">
            <v>1529</v>
          </cell>
          <cell r="AV24">
            <v>2393</v>
          </cell>
          <cell r="AW24">
            <v>1825</v>
          </cell>
          <cell r="AX24">
            <v>1383</v>
          </cell>
          <cell r="AY24">
            <v>869</v>
          </cell>
          <cell r="AZ24">
            <v>600</v>
          </cell>
          <cell r="BA24">
            <v>4447</v>
          </cell>
          <cell r="BB24">
            <v>813</v>
          </cell>
          <cell r="BC24">
            <v>1168</v>
          </cell>
          <cell r="BD24">
            <v>983</v>
          </cell>
          <cell r="BE24">
            <v>856</v>
          </cell>
          <cell r="BF24">
            <v>401</v>
          </cell>
          <cell r="BG24">
            <v>214</v>
          </cell>
          <cell r="BH24">
            <v>12</v>
          </cell>
          <cell r="BI24">
            <v>1139</v>
          </cell>
          <cell r="BJ24">
            <v>2844</v>
          </cell>
          <cell r="BK24">
            <v>464</v>
          </cell>
          <cell r="BL24">
            <v>5165</v>
          </cell>
          <cell r="BM24">
            <v>809</v>
          </cell>
          <cell r="BN24">
            <v>1440</v>
          </cell>
          <cell r="BO24">
            <v>990</v>
          </cell>
          <cell r="BP24">
            <v>918</v>
          </cell>
          <cell r="BQ24">
            <v>529</v>
          </cell>
          <cell r="BR24">
            <v>415</v>
          </cell>
          <cell r="BS24">
            <v>64</v>
          </cell>
          <cell r="BT24">
            <v>1146</v>
          </cell>
          <cell r="BU24">
            <v>3178</v>
          </cell>
          <cell r="BV24">
            <v>841</v>
          </cell>
          <cell r="BW24">
            <v>9022</v>
          </cell>
          <cell r="BX24">
            <v>4785</v>
          </cell>
          <cell r="BY24">
            <v>804</v>
          </cell>
          <cell r="BZ24">
            <v>1910</v>
          </cell>
          <cell r="CA24">
            <v>467</v>
          </cell>
          <cell r="CB24">
            <v>880</v>
          </cell>
          <cell r="CC24">
            <v>14</v>
          </cell>
          <cell r="CD24">
            <v>162</v>
          </cell>
          <cell r="CE24">
            <v>1041</v>
          </cell>
          <cell r="CF24">
            <v>143</v>
          </cell>
          <cell r="CG24">
            <v>294</v>
          </cell>
          <cell r="CH24">
            <v>1697</v>
          </cell>
          <cell r="CI24">
            <v>136</v>
          </cell>
          <cell r="CJ24">
            <v>990</v>
          </cell>
          <cell r="CK24">
            <v>4148</v>
          </cell>
          <cell r="CL24">
            <v>437</v>
          </cell>
          <cell r="CM24">
            <v>1823</v>
          </cell>
          <cell r="CN24">
            <v>2145</v>
          </cell>
          <cell r="CO24">
            <v>88</v>
          </cell>
          <cell r="CP24">
            <v>326</v>
          </cell>
          <cell r="CQ24">
            <v>7890</v>
          </cell>
          <cell r="CR24">
            <v>4</v>
          </cell>
          <cell r="CS24">
            <v>212</v>
          </cell>
          <cell r="CT24">
            <v>584</v>
          </cell>
          <cell r="CU24">
            <v>1309</v>
          </cell>
          <cell r="CV24">
            <v>1649</v>
          </cell>
          <cell r="CW24">
            <v>1072</v>
          </cell>
          <cell r="CX24">
            <v>1608</v>
          </cell>
          <cell r="CY24">
            <v>1452</v>
          </cell>
          <cell r="CZ24">
            <v>7025</v>
          </cell>
          <cell r="DA24">
            <v>40</v>
          </cell>
          <cell r="DB24">
            <v>206</v>
          </cell>
          <cell r="DC24">
            <v>445</v>
          </cell>
          <cell r="DD24">
            <v>978</v>
          </cell>
          <cell r="DE24">
            <v>1305</v>
          </cell>
          <cell r="DF24">
            <v>1116</v>
          </cell>
          <cell r="DG24">
            <v>1354</v>
          </cell>
          <cell r="DH24">
            <v>1581</v>
          </cell>
          <cell r="DI24">
            <v>3553</v>
          </cell>
          <cell r="DJ24">
            <v>0</v>
          </cell>
          <cell r="DK24">
            <v>136</v>
          </cell>
          <cell r="DL24">
            <v>292</v>
          </cell>
          <cell r="DM24">
            <v>633</v>
          </cell>
          <cell r="DN24">
            <v>316</v>
          </cell>
          <cell r="DO24">
            <v>996</v>
          </cell>
          <cell r="DP24">
            <v>660</v>
          </cell>
          <cell r="DQ24">
            <v>520</v>
          </cell>
          <cell r="DR24">
            <v>4337</v>
          </cell>
          <cell r="DS24">
            <v>4</v>
          </cell>
          <cell r="DT24">
            <v>76</v>
          </cell>
          <cell r="DU24">
            <v>292</v>
          </cell>
          <cell r="DV24">
            <v>676</v>
          </cell>
          <cell r="DW24">
            <v>1333</v>
          </cell>
          <cell r="DX24">
            <v>76</v>
          </cell>
          <cell r="DY24">
            <v>948</v>
          </cell>
          <cell r="DZ24">
            <v>932</v>
          </cell>
          <cell r="EA24">
            <v>1762</v>
          </cell>
          <cell r="EB24">
            <v>0</v>
          </cell>
          <cell r="EC24">
            <v>4</v>
          </cell>
          <cell r="ED24">
            <v>108</v>
          </cell>
          <cell r="EE24">
            <v>229</v>
          </cell>
          <cell r="EF24">
            <v>353</v>
          </cell>
          <cell r="EG24">
            <v>232</v>
          </cell>
          <cell r="EH24">
            <v>0</v>
          </cell>
          <cell r="EI24">
            <v>836</v>
          </cell>
          <cell r="EJ24">
            <v>3952</v>
          </cell>
          <cell r="EK24">
            <v>4</v>
          </cell>
          <cell r="EL24">
            <v>164</v>
          </cell>
          <cell r="EM24">
            <v>416</v>
          </cell>
          <cell r="EN24">
            <v>1008</v>
          </cell>
          <cell r="EO24">
            <v>1176</v>
          </cell>
          <cell r="EP24">
            <v>792</v>
          </cell>
          <cell r="EQ24">
            <v>20</v>
          </cell>
          <cell r="ER24">
            <v>372</v>
          </cell>
          <cell r="ES24">
            <v>2176</v>
          </cell>
          <cell r="ET24">
            <v>0</v>
          </cell>
          <cell r="EU24">
            <v>44</v>
          </cell>
          <cell r="EV24">
            <v>60</v>
          </cell>
          <cell r="EW24">
            <v>72</v>
          </cell>
          <cell r="EX24">
            <v>120</v>
          </cell>
          <cell r="EY24">
            <v>48</v>
          </cell>
          <cell r="EZ24">
            <v>1588</v>
          </cell>
          <cell r="FA24">
            <v>244</v>
          </cell>
        </row>
        <row r="25">
          <cell r="A25" t="str">
            <v>37203</v>
          </cell>
          <cell r="B25" t="str">
            <v>Rochecorbon</v>
          </cell>
          <cell r="C25" t="str">
            <v>Vouvrillon</v>
          </cell>
          <cell r="D25">
            <v>3212.666667</v>
          </cell>
          <cell r="E25">
            <v>2982</v>
          </cell>
          <cell r="F25">
            <v>2685</v>
          </cell>
          <cell r="G25">
            <v>2711</v>
          </cell>
          <cell r="H25">
            <v>2349</v>
          </cell>
          <cell r="I25">
            <v>2216</v>
          </cell>
          <cell r="J25">
            <v>17.09</v>
          </cell>
          <cell r="K25">
            <v>243</v>
          </cell>
          <cell r="L25">
            <v>270</v>
          </cell>
          <cell r="M25">
            <v>185</v>
          </cell>
          <cell r="N25">
            <v>178</v>
          </cell>
          <cell r="O25">
            <v>230</v>
          </cell>
          <cell r="P25">
            <v>234</v>
          </cell>
          <cell r="Q25">
            <v>304</v>
          </cell>
          <cell r="R25">
            <v>286</v>
          </cell>
          <cell r="S25">
            <v>228</v>
          </cell>
          <cell r="T25">
            <v>181</v>
          </cell>
          <cell r="U25">
            <v>32</v>
          </cell>
          <cell r="V25">
            <v>36</v>
          </cell>
          <cell r="W25">
            <v>35</v>
          </cell>
          <cell r="X25">
            <v>26</v>
          </cell>
          <cell r="Y25">
            <v>34</v>
          </cell>
          <cell r="Z25">
            <v>47</v>
          </cell>
          <cell r="AA25">
            <v>29</v>
          </cell>
          <cell r="AB25">
            <v>35</v>
          </cell>
          <cell r="AC25">
            <v>37</v>
          </cell>
          <cell r="AD25">
            <v>29</v>
          </cell>
          <cell r="AE25">
            <v>31</v>
          </cell>
          <cell r="AF25">
            <v>36</v>
          </cell>
          <cell r="AG25">
            <v>35</v>
          </cell>
          <cell r="AH25">
            <v>26</v>
          </cell>
          <cell r="AI25">
            <v>38</v>
          </cell>
          <cell r="AJ25">
            <v>34</v>
          </cell>
          <cell r="AK25">
            <v>38</v>
          </cell>
          <cell r="AL25">
            <v>36</v>
          </cell>
          <cell r="AM25">
            <v>27</v>
          </cell>
          <cell r="AN25">
            <v>43</v>
          </cell>
          <cell r="AO25">
            <v>628.83180800000002</v>
          </cell>
          <cell r="AP25">
            <v>447.62638099999998</v>
          </cell>
          <cell r="AQ25">
            <v>637.64036299999998</v>
          </cell>
          <cell r="AR25">
            <v>674.92985799999997</v>
          </cell>
          <cell r="AS25">
            <v>500.062387</v>
          </cell>
          <cell r="AT25">
            <v>323.57587000000001</v>
          </cell>
          <cell r="AU25">
            <v>557</v>
          </cell>
          <cell r="AV25">
            <v>473</v>
          </cell>
          <cell r="AW25">
            <v>652</v>
          </cell>
          <cell r="AX25">
            <v>637</v>
          </cell>
          <cell r="AY25">
            <v>425</v>
          </cell>
          <cell r="AZ25">
            <v>238</v>
          </cell>
          <cell r="BA25">
            <v>1576.9629870000001</v>
          </cell>
          <cell r="BB25">
            <v>328.12874699999998</v>
          </cell>
          <cell r="BC25">
            <v>225.28242299999999</v>
          </cell>
          <cell r="BD25">
            <v>316.37146000000001</v>
          </cell>
          <cell r="BE25">
            <v>340.84156899999999</v>
          </cell>
          <cell r="BF25">
            <v>241.17801600000001</v>
          </cell>
          <cell r="BG25">
            <v>115.187524</v>
          </cell>
          <cell r="BH25">
            <v>9.9732470000000006</v>
          </cell>
          <cell r="BI25">
            <v>420.200694</v>
          </cell>
          <cell r="BJ25">
            <v>896.20316300000002</v>
          </cell>
          <cell r="BK25">
            <v>260.55912999999998</v>
          </cell>
          <cell r="BL25">
            <v>1635.7036800000001</v>
          </cell>
          <cell r="BM25">
            <v>300.70306099999999</v>
          </cell>
          <cell r="BN25">
            <v>222.34395699999999</v>
          </cell>
          <cell r="BO25">
            <v>321.26890400000002</v>
          </cell>
          <cell r="BP25">
            <v>334.08828799999998</v>
          </cell>
          <cell r="BQ25">
            <v>258.88436999999999</v>
          </cell>
          <cell r="BR25">
            <v>165.03089800000001</v>
          </cell>
          <cell r="BS25">
            <v>33.384202000000002</v>
          </cell>
          <cell r="BT25">
            <v>382.000631</v>
          </cell>
          <cell r="BU25">
            <v>917.98115800000005</v>
          </cell>
          <cell r="BV25">
            <v>335.72189100000003</v>
          </cell>
          <cell r="BW25">
            <v>3039.297149</v>
          </cell>
          <cell r="BX25">
            <v>1999.407344</v>
          </cell>
          <cell r="BY25">
            <v>138.264692</v>
          </cell>
          <cell r="BZ25">
            <v>652.43591300000003</v>
          </cell>
          <cell r="CA25">
            <v>61.707794</v>
          </cell>
          <cell r="CB25">
            <v>163.97367499999999</v>
          </cell>
          <cell r="CC25">
            <v>0</v>
          </cell>
          <cell r="CD25">
            <v>23.507731</v>
          </cell>
          <cell r="CE25">
            <v>456.44177999999999</v>
          </cell>
          <cell r="CF25">
            <v>28.405175</v>
          </cell>
          <cell r="CG25">
            <v>172.390028</v>
          </cell>
          <cell r="CH25">
            <v>307.559482</v>
          </cell>
          <cell r="CI25">
            <v>20.569265000000001</v>
          </cell>
          <cell r="CJ25">
            <v>102.846324</v>
          </cell>
          <cell r="CK25">
            <v>1245.97696</v>
          </cell>
          <cell r="CL25">
            <v>68.564216000000002</v>
          </cell>
          <cell r="CM25">
            <v>515.20426399999997</v>
          </cell>
          <cell r="CN25">
            <v>1030.2984160000001</v>
          </cell>
          <cell r="CO25">
            <v>20.726036000000001</v>
          </cell>
          <cell r="CP25">
            <v>111.184498</v>
          </cell>
          <cell r="CQ25">
            <v>2571.0410109999998</v>
          </cell>
          <cell r="CR25">
            <v>15.671821</v>
          </cell>
          <cell r="CS25">
            <v>105.78479</v>
          </cell>
          <cell r="CT25">
            <v>286.01072900000003</v>
          </cell>
          <cell r="CU25">
            <v>348.69801200000001</v>
          </cell>
          <cell r="CV25">
            <v>282.09277400000002</v>
          </cell>
          <cell r="CW25">
            <v>282.09277400000002</v>
          </cell>
          <cell r="CX25">
            <v>870.40098799999998</v>
          </cell>
          <cell r="CY25">
            <v>380.28912300000002</v>
          </cell>
          <cell r="CZ25">
            <v>2404</v>
          </cell>
          <cell r="DA25">
            <v>20</v>
          </cell>
          <cell r="DB25">
            <v>156</v>
          </cell>
          <cell r="DC25">
            <v>172</v>
          </cell>
          <cell r="DD25">
            <v>352</v>
          </cell>
          <cell r="DE25">
            <v>392</v>
          </cell>
          <cell r="DF25">
            <v>272</v>
          </cell>
          <cell r="DG25">
            <v>608</v>
          </cell>
          <cell r="DH25">
            <v>432</v>
          </cell>
          <cell r="DI25">
            <v>1270.183047</v>
          </cell>
          <cell r="DJ25">
            <v>11.753866</v>
          </cell>
          <cell r="DK25">
            <v>66.605238</v>
          </cell>
          <cell r="DL25">
            <v>199.81571500000001</v>
          </cell>
          <cell r="DM25">
            <v>144.96434199999999</v>
          </cell>
          <cell r="DN25">
            <v>70.523193000000006</v>
          </cell>
          <cell r="DO25">
            <v>227.241401</v>
          </cell>
          <cell r="DP25">
            <v>416.10303499999998</v>
          </cell>
          <cell r="DQ25">
            <v>133.176256</v>
          </cell>
          <cell r="DR25">
            <v>1300.857964</v>
          </cell>
          <cell r="DS25">
            <v>3.9179550000000001</v>
          </cell>
          <cell r="DT25">
            <v>39.179552000000001</v>
          </cell>
          <cell r="DU25">
            <v>86.195014</v>
          </cell>
          <cell r="DV25">
            <v>203.73366999999999</v>
          </cell>
          <cell r="DW25">
            <v>211.56958</v>
          </cell>
          <cell r="DX25">
            <v>54.851373000000002</v>
          </cell>
          <cell r="DY25">
            <v>454.29795300000001</v>
          </cell>
          <cell r="DZ25">
            <v>247.11286699999999</v>
          </cell>
          <cell r="EA25">
            <v>293.84663899999998</v>
          </cell>
          <cell r="EB25">
            <v>0</v>
          </cell>
          <cell r="EC25">
            <v>0</v>
          </cell>
          <cell r="ED25">
            <v>3.9179550000000001</v>
          </cell>
          <cell r="EE25">
            <v>11.753866</v>
          </cell>
          <cell r="EF25">
            <v>15.671821</v>
          </cell>
          <cell r="EG25">
            <v>58.769328000000002</v>
          </cell>
          <cell r="EH25">
            <v>0</v>
          </cell>
          <cell r="EI25">
            <v>203.73366999999999</v>
          </cell>
          <cell r="EJ25">
            <v>1147.933495</v>
          </cell>
          <cell r="EK25">
            <v>11.753866</v>
          </cell>
          <cell r="EL25">
            <v>82.277058999999994</v>
          </cell>
          <cell r="EM25">
            <v>211.56958</v>
          </cell>
          <cell r="EN25">
            <v>297.76459499999999</v>
          </cell>
          <cell r="EO25">
            <v>235.07731100000001</v>
          </cell>
          <cell r="EP25">
            <v>203.73366999999999</v>
          </cell>
          <cell r="EQ25">
            <v>15.671821</v>
          </cell>
          <cell r="ER25">
            <v>90.085593000000003</v>
          </cell>
          <cell r="ES25">
            <v>1129.2608769999999</v>
          </cell>
          <cell r="ET25">
            <v>3.9179550000000001</v>
          </cell>
          <cell r="EU25">
            <v>23.507731</v>
          </cell>
          <cell r="EV25">
            <v>70.523193000000006</v>
          </cell>
          <cell r="EW25">
            <v>39.179552000000001</v>
          </cell>
          <cell r="EX25">
            <v>31.343641999999999</v>
          </cell>
          <cell r="EY25">
            <v>19.589776000000001</v>
          </cell>
          <cell r="EZ25">
            <v>854.72916799999996</v>
          </cell>
          <cell r="FA25">
            <v>86.469859999999997</v>
          </cell>
        </row>
        <row r="26">
          <cell r="A26" t="str">
            <v>37208</v>
          </cell>
          <cell r="B26" t="str">
            <v>Saint-Avertin</v>
          </cell>
          <cell r="C26" t="str">
            <v>Tour(s)plus</v>
          </cell>
          <cell r="D26">
            <v>13930.973963</v>
          </cell>
          <cell r="E26">
            <v>14094</v>
          </cell>
          <cell r="F26">
            <v>12187</v>
          </cell>
          <cell r="G26">
            <v>10115</v>
          </cell>
          <cell r="H26">
            <v>8795</v>
          </cell>
          <cell r="I26">
            <v>7415</v>
          </cell>
          <cell r="J26">
            <v>13.25</v>
          </cell>
          <cell r="K26">
            <v>879</v>
          </cell>
          <cell r="L26">
            <v>1322</v>
          </cell>
          <cell r="M26">
            <v>1060</v>
          </cell>
          <cell r="N26">
            <v>812</v>
          </cell>
          <cell r="O26">
            <v>845</v>
          </cell>
          <cell r="P26">
            <v>578</v>
          </cell>
          <cell r="Q26">
            <v>699</v>
          </cell>
          <cell r="R26">
            <v>488</v>
          </cell>
          <cell r="S26">
            <v>435</v>
          </cell>
          <cell r="T26">
            <v>355</v>
          </cell>
          <cell r="U26">
            <v>126</v>
          </cell>
          <cell r="V26">
            <v>119</v>
          </cell>
          <cell r="W26">
            <v>111</v>
          </cell>
          <cell r="X26">
            <v>146</v>
          </cell>
          <cell r="Y26">
            <v>108</v>
          </cell>
          <cell r="Z26">
            <v>132</v>
          </cell>
          <cell r="AA26">
            <v>130</v>
          </cell>
          <cell r="AB26">
            <v>122</v>
          </cell>
          <cell r="AC26">
            <v>130</v>
          </cell>
          <cell r="AD26">
            <v>140</v>
          </cell>
          <cell r="AE26">
            <v>85</v>
          </cell>
          <cell r="AF26">
            <v>89</v>
          </cell>
          <cell r="AG26">
            <v>84</v>
          </cell>
          <cell r="AH26">
            <v>86</v>
          </cell>
          <cell r="AI26">
            <v>78</v>
          </cell>
          <cell r="AJ26">
            <v>90</v>
          </cell>
          <cell r="AK26">
            <v>76</v>
          </cell>
          <cell r="AL26">
            <v>96</v>
          </cell>
          <cell r="AM26">
            <v>68</v>
          </cell>
          <cell r="AN26">
            <v>90</v>
          </cell>
          <cell r="AO26">
            <v>2369.7517050000001</v>
          </cell>
          <cell r="AP26">
            <v>2360.1617510000001</v>
          </cell>
          <cell r="AQ26">
            <v>2434.735866</v>
          </cell>
          <cell r="AR26">
            <v>3558.557808</v>
          </cell>
          <cell r="AS26">
            <v>2104.485572</v>
          </cell>
          <cell r="AT26">
            <v>1103.28126</v>
          </cell>
          <cell r="AU26">
            <v>2792</v>
          </cell>
          <cell r="AV26">
            <v>2516</v>
          </cell>
          <cell r="AW26">
            <v>3109</v>
          </cell>
          <cell r="AX26">
            <v>3006</v>
          </cell>
          <cell r="AY26">
            <v>1910</v>
          </cell>
          <cell r="AZ26">
            <v>761</v>
          </cell>
          <cell r="BA26">
            <v>6717.1133570000002</v>
          </cell>
          <cell r="BB26">
            <v>1200.7675400000001</v>
          </cell>
          <cell r="BC26">
            <v>1161.3023860000001</v>
          </cell>
          <cell r="BD26">
            <v>1211.410973</v>
          </cell>
          <cell r="BE26">
            <v>1672.4607590000001</v>
          </cell>
          <cell r="BF26">
            <v>1004.09291</v>
          </cell>
          <cell r="BG26">
            <v>438.57418899999999</v>
          </cell>
          <cell r="BH26">
            <v>28.5046</v>
          </cell>
          <cell r="BI26">
            <v>1770.5710409999999</v>
          </cell>
          <cell r="BJ26">
            <v>3875.3484960000001</v>
          </cell>
          <cell r="BK26">
            <v>1071.1938210000001</v>
          </cell>
          <cell r="BL26">
            <v>7213.8606060000002</v>
          </cell>
          <cell r="BM26">
            <v>1168.984166</v>
          </cell>
          <cell r="BN26">
            <v>1198.859365</v>
          </cell>
          <cell r="BO26">
            <v>1223.324893</v>
          </cell>
          <cell r="BP26">
            <v>1886.097049</v>
          </cell>
          <cell r="BQ26">
            <v>1100.3926630000001</v>
          </cell>
          <cell r="BR26">
            <v>583.52207199999998</v>
          </cell>
          <cell r="BS26">
            <v>52.680397999999997</v>
          </cell>
          <cell r="BT26">
            <v>1731.251188</v>
          </cell>
          <cell r="BU26">
            <v>4204.5155279999999</v>
          </cell>
          <cell r="BV26">
            <v>1278.093889</v>
          </cell>
          <cell r="BW26">
            <v>13265.881660999999</v>
          </cell>
          <cell r="BX26">
            <v>9109.5777300000009</v>
          </cell>
          <cell r="BY26">
            <v>867.692544</v>
          </cell>
          <cell r="BZ26">
            <v>1739.1206480000001</v>
          </cell>
          <cell r="CA26">
            <v>210.212457</v>
          </cell>
          <cell r="CB26">
            <v>1214.4639030000001</v>
          </cell>
          <cell r="CC26">
            <v>37.726598000000003</v>
          </cell>
          <cell r="CD26">
            <v>87.087781000000007</v>
          </cell>
          <cell r="CE26">
            <v>1704.6594030000001</v>
          </cell>
          <cell r="CF26">
            <v>173.13234700000001</v>
          </cell>
          <cell r="CG26">
            <v>553.22029499999996</v>
          </cell>
          <cell r="CH26">
            <v>1844.0230340000001</v>
          </cell>
          <cell r="CI26">
            <v>141.46202</v>
          </cell>
          <cell r="CJ26">
            <v>553.17089699999997</v>
          </cell>
          <cell r="CK26">
            <v>5505.764897</v>
          </cell>
          <cell r="CL26">
            <v>458.746128</v>
          </cell>
          <cell r="CM26">
            <v>1815.221753</v>
          </cell>
          <cell r="CN26">
            <v>4211.4343269999999</v>
          </cell>
          <cell r="CO26">
            <v>94.352048999999994</v>
          </cell>
          <cell r="CP26">
            <v>366.99844200000001</v>
          </cell>
          <cell r="CQ26">
            <v>11572.169017</v>
          </cell>
          <cell r="CR26">
            <v>3.4631449999999999</v>
          </cell>
          <cell r="CS26">
            <v>369.92698000000001</v>
          </cell>
          <cell r="CT26">
            <v>1532.340416</v>
          </cell>
          <cell r="CU26">
            <v>1803.653695</v>
          </cell>
          <cell r="CV26">
            <v>1686.8266080000001</v>
          </cell>
          <cell r="CW26">
            <v>974.74924199999998</v>
          </cell>
          <cell r="CX26">
            <v>3194.7634050000001</v>
          </cell>
          <cell r="CY26">
            <v>2006.4455270000001</v>
          </cell>
          <cell r="CZ26">
            <v>11188</v>
          </cell>
          <cell r="DA26">
            <v>4</v>
          </cell>
          <cell r="DB26">
            <v>416</v>
          </cell>
          <cell r="DC26">
            <v>1332</v>
          </cell>
          <cell r="DD26">
            <v>1772</v>
          </cell>
          <cell r="DE26">
            <v>1868</v>
          </cell>
          <cell r="DF26">
            <v>996</v>
          </cell>
          <cell r="DG26">
            <v>2496</v>
          </cell>
          <cell r="DH26">
            <v>2304</v>
          </cell>
          <cell r="DI26">
            <v>5533.3469750000004</v>
          </cell>
          <cell r="DJ26">
            <v>3.4631449999999999</v>
          </cell>
          <cell r="DK26">
            <v>271.34616</v>
          </cell>
          <cell r="DL26">
            <v>1038.0549599999999</v>
          </cell>
          <cell r="DM26">
            <v>761.19813299999998</v>
          </cell>
          <cell r="DN26">
            <v>352.40979099999998</v>
          </cell>
          <cell r="DO26">
            <v>790.62244699999997</v>
          </cell>
          <cell r="DP26">
            <v>1573.3893720000001</v>
          </cell>
          <cell r="DQ26">
            <v>742.86296700000003</v>
          </cell>
          <cell r="DR26">
            <v>6038.8220419999998</v>
          </cell>
          <cell r="DS26">
            <v>0</v>
          </cell>
          <cell r="DT26">
            <v>98.580820000000003</v>
          </cell>
          <cell r="DU26">
            <v>494.28545600000001</v>
          </cell>
          <cell r="DV26">
            <v>1042.455563</v>
          </cell>
          <cell r="DW26">
            <v>1334.416817</v>
          </cell>
          <cell r="DX26">
            <v>184.12679399999999</v>
          </cell>
          <cell r="DY26">
            <v>1621.3740330000001</v>
          </cell>
          <cell r="DZ26">
            <v>1263.5825600000001</v>
          </cell>
          <cell r="EA26">
            <v>1850.933914</v>
          </cell>
          <cell r="EB26">
            <v>0</v>
          </cell>
          <cell r="EC26">
            <v>6.016051</v>
          </cell>
          <cell r="ED26">
            <v>23.087689000000001</v>
          </cell>
          <cell r="EE26">
            <v>136.448846</v>
          </cell>
          <cell r="EF26">
            <v>219.67495500000001</v>
          </cell>
          <cell r="EG26">
            <v>162.62479400000001</v>
          </cell>
          <cell r="EH26">
            <v>0</v>
          </cell>
          <cell r="EI26">
            <v>1303.0815789999999</v>
          </cell>
          <cell r="EJ26">
            <v>5511.854018</v>
          </cell>
          <cell r="EK26">
            <v>3.4631449999999999</v>
          </cell>
          <cell r="EL26">
            <v>289.38088099999999</v>
          </cell>
          <cell r="EM26">
            <v>1212.340263</v>
          </cell>
          <cell r="EN26">
            <v>1546.0983880000001</v>
          </cell>
          <cell r="EO26">
            <v>1284.754418</v>
          </cell>
          <cell r="EP26">
            <v>747.88971700000002</v>
          </cell>
          <cell r="EQ26">
            <v>53.512183999999998</v>
          </cell>
          <cell r="ER26">
            <v>374.41502200000002</v>
          </cell>
          <cell r="ES26">
            <v>4209.3810860000003</v>
          </cell>
          <cell r="ET26">
            <v>0</v>
          </cell>
          <cell r="EU26">
            <v>74.530049000000005</v>
          </cell>
          <cell r="EV26">
            <v>296.912464</v>
          </cell>
          <cell r="EW26">
            <v>121.106461</v>
          </cell>
          <cell r="EX26">
            <v>182.39723499999999</v>
          </cell>
          <cell r="EY26">
            <v>64.234730999999996</v>
          </cell>
          <cell r="EZ26">
            <v>3141.251221</v>
          </cell>
          <cell r="FA26">
            <v>328.94892499999997</v>
          </cell>
        </row>
        <row r="27">
          <cell r="A27" t="str">
            <v>37211</v>
          </cell>
          <cell r="B27" t="str">
            <v>Saint-Branchs</v>
          </cell>
          <cell r="C27" t="str">
            <v>CC du Val de l'Indre</v>
          </cell>
          <cell r="D27">
            <v>2324</v>
          </cell>
          <cell r="E27">
            <v>2212</v>
          </cell>
          <cell r="F27">
            <v>2103</v>
          </cell>
          <cell r="G27">
            <v>1707</v>
          </cell>
          <cell r="H27">
            <v>1548</v>
          </cell>
          <cell r="I27">
            <v>1621</v>
          </cell>
          <cell r="J27">
            <v>51.16</v>
          </cell>
          <cell r="K27">
            <v>190</v>
          </cell>
          <cell r="L27">
            <v>234</v>
          </cell>
          <cell r="M27">
            <v>242</v>
          </cell>
          <cell r="N27">
            <v>132</v>
          </cell>
          <cell r="O27">
            <v>173</v>
          </cell>
          <cell r="P27">
            <v>90</v>
          </cell>
          <cell r="Q27">
            <v>150</v>
          </cell>
          <cell r="R27">
            <v>122</v>
          </cell>
          <cell r="S27">
            <v>107</v>
          </cell>
          <cell r="T27">
            <v>97</v>
          </cell>
          <cell r="U27">
            <v>25</v>
          </cell>
          <cell r="V27">
            <v>38</v>
          </cell>
          <cell r="W27">
            <v>30</v>
          </cell>
          <cell r="X27">
            <v>31</v>
          </cell>
          <cell r="Y27">
            <v>32</v>
          </cell>
          <cell r="Z27">
            <v>18</v>
          </cell>
          <cell r="AA27">
            <v>20</v>
          </cell>
          <cell r="AB27">
            <v>31</v>
          </cell>
          <cell r="AC27">
            <v>28</v>
          </cell>
          <cell r="AD27">
            <v>25</v>
          </cell>
          <cell r="AE27">
            <v>13</v>
          </cell>
          <cell r="AF27">
            <v>19</v>
          </cell>
          <cell r="AG27">
            <v>14</v>
          </cell>
          <cell r="AH27">
            <v>15</v>
          </cell>
          <cell r="AI27">
            <v>14</v>
          </cell>
          <cell r="AJ27">
            <v>11</v>
          </cell>
          <cell r="AK27">
            <v>7</v>
          </cell>
          <cell r="AL27">
            <v>15</v>
          </cell>
          <cell r="AM27">
            <v>14</v>
          </cell>
          <cell r="AN27">
            <v>27</v>
          </cell>
          <cell r="AO27">
            <v>461.643463</v>
          </cell>
          <cell r="AP27">
            <v>363.00169799999998</v>
          </cell>
          <cell r="AQ27">
            <v>542.52971100000002</v>
          </cell>
          <cell r="AR27">
            <v>550.42105300000003</v>
          </cell>
          <cell r="AS27">
            <v>263.373514</v>
          </cell>
          <cell r="AT27">
            <v>143.03056000000001</v>
          </cell>
          <cell r="AU27">
            <v>498</v>
          </cell>
          <cell r="AV27">
            <v>383</v>
          </cell>
          <cell r="AW27">
            <v>595</v>
          </cell>
          <cell r="AX27">
            <v>355</v>
          </cell>
          <cell r="AY27">
            <v>268</v>
          </cell>
          <cell r="AZ27">
            <v>113</v>
          </cell>
          <cell r="BA27">
            <v>1159.040747</v>
          </cell>
          <cell r="BB27">
            <v>233.78098499999999</v>
          </cell>
          <cell r="BC27">
            <v>177.55517800000001</v>
          </cell>
          <cell r="BD27">
            <v>267.319185</v>
          </cell>
          <cell r="BE27">
            <v>290.00679100000002</v>
          </cell>
          <cell r="BF27">
            <v>133.16638399999999</v>
          </cell>
          <cell r="BG27">
            <v>56.225805999999999</v>
          </cell>
          <cell r="BH27">
            <v>0.98641800000000002</v>
          </cell>
          <cell r="BI27">
            <v>313.680815</v>
          </cell>
          <cell r="BJ27">
            <v>703.315789</v>
          </cell>
          <cell r="BK27">
            <v>142.04414299999999</v>
          </cell>
          <cell r="BL27">
            <v>1164.959253</v>
          </cell>
          <cell r="BM27">
            <v>227.86247900000001</v>
          </cell>
          <cell r="BN27">
            <v>185.44651999999999</v>
          </cell>
          <cell r="BO27">
            <v>275.21052600000002</v>
          </cell>
          <cell r="BP27">
            <v>260.41426100000001</v>
          </cell>
          <cell r="BQ27">
            <v>130.207131</v>
          </cell>
          <cell r="BR27">
            <v>77.926995000000005</v>
          </cell>
          <cell r="BS27">
            <v>7.8913409999999997</v>
          </cell>
          <cell r="BT27">
            <v>312.69439699999998</v>
          </cell>
          <cell r="BU27">
            <v>692.46519499999999</v>
          </cell>
          <cell r="BV27">
            <v>159.79965999999999</v>
          </cell>
          <cell r="BW27">
            <v>2166.1731749999999</v>
          </cell>
          <cell r="BX27">
            <v>1529.9337860000001</v>
          </cell>
          <cell r="BY27">
            <v>110.47877800000001</v>
          </cell>
          <cell r="BZ27">
            <v>396.53989799999999</v>
          </cell>
          <cell r="CA27">
            <v>36.497453</v>
          </cell>
          <cell r="CB27">
            <v>83.845500999999999</v>
          </cell>
          <cell r="CC27">
            <v>1.9728349999999999</v>
          </cell>
          <cell r="CD27">
            <v>6.9049240000000003</v>
          </cell>
          <cell r="CE27">
            <v>303.81663800000001</v>
          </cell>
          <cell r="CF27">
            <v>28.606112</v>
          </cell>
          <cell r="CG27">
            <v>85.818336000000002</v>
          </cell>
          <cell r="CH27">
            <v>271.26485600000001</v>
          </cell>
          <cell r="CI27">
            <v>14.796265</v>
          </cell>
          <cell r="CJ27">
            <v>60.171477000000003</v>
          </cell>
          <cell r="CK27">
            <v>1035.7385400000001</v>
          </cell>
          <cell r="CL27">
            <v>57.212223999999999</v>
          </cell>
          <cell r="CM27">
            <v>333.40916800000002</v>
          </cell>
          <cell r="CN27">
            <v>555.35314100000005</v>
          </cell>
          <cell r="CO27">
            <v>9.8641769999999998</v>
          </cell>
          <cell r="CP27">
            <v>46.361629999999998</v>
          </cell>
          <cell r="CQ27">
            <v>1834.736842</v>
          </cell>
          <cell r="CR27">
            <v>39.456705999999997</v>
          </cell>
          <cell r="CS27">
            <v>43.402377000000001</v>
          </cell>
          <cell r="CT27">
            <v>126.26146</v>
          </cell>
          <cell r="CU27">
            <v>331.43633299999999</v>
          </cell>
          <cell r="CV27">
            <v>319.59932099999997</v>
          </cell>
          <cell r="CW27">
            <v>414.29541599999999</v>
          </cell>
          <cell r="CX27">
            <v>366.94736799999998</v>
          </cell>
          <cell r="CY27">
            <v>193.337861</v>
          </cell>
          <cell r="CZ27">
            <v>1724</v>
          </cell>
          <cell r="DA27">
            <v>66</v>
          </cell>
          <cell r="DB27">
            <v>56</v>
          </cell>
          <cell r="DC27">
            <v>61</v>
          </cell>
          <cell r="DD27">
            <v>204</v>
          </cell>
          <cell r="DE27">
            <v>321</v>
          </cell>
          <cell r="DF27">
            <v>338</v>
          </cell>
          <cell r="DG27">
            <v>374</v>
          </cell>
          <cell r="DH27">
            <v>304</v>
          </cell>
          <cell r="DI27">
            <v>923.28692699999999</v>
          </cell>
          <cell r="DJ27">
            <v>27.619693999999999</v>
          </cell>
          <cell r="DK27">
            <v>35.511035999999997</v>
          </cell>
          <cell r="DL27">
            <v>90.750423999999995</v>
          </cell>
          <cell r="DM27">
            <v>153.88115400000001</v>
          </cell>
          <cell r="DN27">
            <v>51.293717999999998</v>
          </cell>
          <cell r="DO27">
            <v>327.49066199999999</v>
          </cell>
          <cell r="DP27">
            <v>165.718166</v>
          </cell>
          <cell r="DQ27">
            <v>71.022070999999997</v>
          </cell>
          <cell r="DR27">
            <v>911.44991500000003</v>
          </cell>
          <cell r="DS27">
            <v>11.837012</v>
          </cell>
          <cell r="DT27">
            <v>7.8913409999999997</v>
          </cell>
          <cell r="DU27">
            <v>35.511035999999997</v>
          </cell>
          <cell r="DV27">
            <v>177.55517800000001</v>
          </cell>
          <cell r="DW27">
            <v>268.30560300000002</v>
          </cell>
          <cell r="DX27">
            <v>86.804754000000003</v>
          </cell>
          <cell r="DY27">
            <v>201.22920199999999</v>
          </cell>
          <cell r="DZ27">
            <v>122.315789</v>
          </cell>
          <cell r="EA27">
            <v>264.35993200000001</v>
          </cell>
          <cell r="EB27">
            <v>3.9456709999999999</v>
          </cell>
          <cell r="EC27">
            <v>3.9456709999999999</v>
          </cell>
          <cell r="ED27">
            <v>0</v>
          </cell>
          <cell r="EE27">
            <v>19.728352999999998</v>
          </cell>
          <cell r="EF27">
            <v>55.239389000000003</v>
          </cell>
          <cell r="EG27">
            <v>47.348047999999999</v>
          </cell>
          <cell r="EH27">
            <v>0</v>
          </cell>
          <cell r="EI27">
            <v>134.15280100000001</v>
          </cell>
          <cell r="EJ27">
            <v>1085.0594229999999</v>
          </cell>
          <cell r="EK27">
            <v>27.619693999999999</v>
          </cell>
          <cell r="EL27">
            <v>35.511035999999997</v>
          </cell>
          <cell r="EM27">
            <v>106.533107</v>
          </cell>
          <cell r="EN27">
            <v>288.03395599999999</v>
          </cell>
          <cell r="EO27">
            <v>248.57724999999999</v>
          </cell>
          <cell r="EP27">
            <v>335.382003</v>
          </cell>
          <cell r="EQ27">
            <v>3.9456709999999999</v>
          </cell>
          <cell r="ER27">
            <v>39.456705999999997</v>
          </cell>
          <cell r="ES27">
            <v>485.31748700000003</v>
          </cell>
          <cell r="ET27">
            <v>7.8913409999999997</v>
          </cell>
          <cell r="EU27">
            <v>3.9456709999999999</v>
          </cell>
          <cell r="EV27">
            <v>19.728352999999998</v>
          </cell>
          <cell r="EW27">
            <v>23.674023999999999</v>
          </cell>
          <cell r="EX27">
            <v>15.782683</v>
          </cell>
          <cell r="EY27">
            <v>31.565365</v>
          </cell>
          <cell r="EZ27">
            <v>363.00169799999998</v>
          </cell>
          <cell r="FA27">
            <v>19.728352999999998</v>
          </cell>
        </row>
        <row r="28">
          <cell r="A28" t="str">
            <v>37214</v>
          </cell>
          <cell r="B28" t="str">
            <v>Saint-Cyr-sur-Loire</v>
          </cell>
          <cell r="C28" t="str">
            <v>Tour(s)plus</v>
          </cell>
          <cell r="D28">
            <v>16365.674278</v>
          </cell>
          <cell r="E28">
            <v>16096</v>
          </cell>
          <cell r="F28">
            <v>15161</v>
          </cell>
          <cell r="G28">
            <v>14413</v>
          </cell>
          <cell r="H28">
            <v>12478</v>
          </cell>
          <cell r="I28">
            <v>11211</v>
          </cell>
          <cell r="J28">
            <v>13.5</v>
          </cell>
          <cell r="K28">
            <v>1094</v>
          </cell>
          <cell r="L28">
            <v>1549</v>
          </cell>
          <cell r="M28">
            <v>1514</v>
          </cell>
          <cell r="N28">
            <v>1442</v>
          </cell>
          <cell r="O28">
            <v>1452</v>
          </cell>
          <cell r="P28">
            <v>948</v>
          </cell>
          <cell r="Q28">
            <v>1206</v>
          </cell>
          <cell r="R28">
            <v>933</v>
          </cell>
          <cell r="S28">
            <v>747</v>
          </cell>
          <cell r="T28">
            <v>635</v>
          </cell>
          <cell r="U28">
            <v>143</v>
          </cell>
          <cell r="V28">
            <v>143</v>
          </cell>
          <cell r="W28">
            <v>143</v>
          </cell>
          <cell r="X28">
            <v>137</v>
          </cell>
          <cell r="Y28">
            <v>138</v>
          </cell>
          <cell r="Z28">
            <v>186</v>
          </cell>
          <cell r="AA28">
            <v>152</v>
          </cell>
          <cell r="AB28">
            <v>171</v>
          </cell>
          <cell r="AC28">
            <v>167</v>
          </cell>
          <cell r="AD28">
            <v>169</v>
          </cell>
          <cell r="AE28">
            <v>179</v>
          </cell>
          <cell r="AF28">
            <v>145</v>
          </cell>
          <cell r="AG28">
            <v>117</v>
          </cell>
          <cell r="AH28">
            <v>127</v>
          </cell>
          <cell r="AI28">
            <v>159</v>
          </cell>
          <cell r="AJ28">
            <v>135</v>
          </cell>
          <cell r="AK28">
            <v>130</v>
          </cell>
          <cell r="AL28">
            <v>127</v>
          </cell>
          <cell r="AM28">
            <v>153</v>
          </cell>
          <cell r="AN28">
            <v>161</v>
          </cell>
          <cell r="AO28">
            <v>2428.6932940000002</v>
          </cell>
          <cell r="AP28">
            <v>2976.4975319999999</v>
          </cell>
          <cell r="AQ28">
            <v>2891.95246</v>
          </cell>
          <cell r="AR28">
            <v>3735.7393769999999</v>
          </cell>
          <cell r="AS28">
            <v>2412.5459639999999</v>
          </cell>
          <cell r="AT28">
            <v>1920.2456529999999</v>
          </cell>
          <cell r="AU28">
            <v>2625</v>
          </cell>
          <cell r="AV28">
            <v>3190</v>
          </cell>
          <cell r="AW28">
            <v>3199</v>
          </cell>
          <cell r="AX28">
            <v>3356</v>
          </cell>
          <cell r="AY28">
            <v>2284</v>
          </cell>
          <cell r="AZ28">
            <v>1442</v>
          </cell>
          <cell r="BA28">
            <v>7602.5264150000003</v>
          </cell>
          <cell r="BB28">
            <v>1287.7815760000001</v>
          </cell>
          <cell r="BC28">
            <v>1440.634031</v>
          </cell>
          <cell r="BD28">
            <v>1334.1958950000001</v>
          </cell>
          <cell r="BE28">
            <v>1801.809876</v>
          </cell>
          <cell r="BF28">
            <v>1033.1128739999999</v>
          </cell>
          <cell r="BG28">
            <v>676.25532299999998</v>
          </cell>
          <cell r="BH28">
            <v>28.736839</v>
          </cell>
          <cell r="BI28">
            <v>1773.3079640000001</v>
          </cell>
          <cell r="BJ28">
            <v>4502.6430099999998</v>
          </cell>
          <cell r="BK28">
            <v>1326.575441</v>
          </cell>
          <cell r="BL28">
            <v>8763.1478640000005</v>
          </cell>
          <cell r="BM28">
            <v>1140.9117180000001</v>
          </cell>
          <cell r="BN28">
            <v>1535.863501</v>
          </cell>
          <cell r="BO28">
            <v>1557.756564</v>
          </cell>
          <cell r="BP28">
            <v>1933.9295</v>
          </cell>
          <cell r="BQ28">
            <v>1379.4330890000001</v>
          </cell>
          <cell r="BR28">
            <v>1053.80177</v>
          </cell>
          <cell r="BS28">
            <v>161.45172099999999</v>
          </cell>
          <cell r="BT28">
            <v>1680.926056</v>
          </cell>
          <cell r="BU28">
            <v>4980.3162810000003</v>
          </cell>
          <cell r="BV28">
            <v>2101.9055269999999</v>
          </cell>
          <cell r="BW28">
            <v>15632.274654999999</v>
          </cell>
          <cell r="BX28">
            <v>9621.3031179999998</v>
          </cell>
          <cell r="BY28">
            <v>1369.9172940000001</v>
          </cell>
          <cell r="BZ28">
            <v>2574.0055170000001</v>
          </cell>
          <cell r="CA28">
            <v>364.85994599999998</v>
          </cell>
          <cell r="CB28">
            <v>1517.346963</v>
          </cell>
          <cell r="CC28">
            <v>23.324864000000002</v>
          </cell>
          <cell r="CD28">
            <v>161.516953</v>
          </cell>
          <cell r="CE28">
            <v>1701.897052</v>
          </cell>
          <cell r="CF28">
            <v>195.69393400000001</v>
          </cell>
          <cell r="CG28">
            <v>623.635673</v>
          </cell>
          <cell r="CH28">
            <v>2012.8136239999999</v>
          </cell>
          <cell r="CI28">
            <v>195.87046699999999</v>
          </cell>
          <cell r="CJ28">
            <v>874.34436000000005</v>
          </cell>
          <cell r="CK28">
            <v>6259.9606720000002</v>
          </cell>
          <cell r="CL28">
            <v>765.03652099999999</v>
          </cell>
          <cell r="CM28">
            <v>2517.1983399999999</v>
          </cell>
          <cell r="CN28">
            <v>5664.2066889999996</v>
          </cell>
          <cell r="CO28">
            <v>213.316372</v>
          </cell>
          <cell r="CP28">
            <v>625.87586999999996</v>
          </cell>
          <cell r="CQ28">
            <v>13939.344123999999</v>
          </cell>
          <cell r="CR28">
            <v>4.3500759999999996</v>
          </cell>
          <cell r="CS28">
            <v>374.03087799999997</v>
          </cell>
          <cell r="CT28">
            <v>1829.795707</v>
          </cell>
          <cell r="CU28">
            <v>2351.5432099999998</v>
          </cell>
          <cell r="CV28">
            <v>2115.3128470000001</v>
          </cell>
          <cell r="CW28">
            <v>961.17836999999997</v>
          </cell>
          <cell r="CX28">
            <v>4078.4913350000002</v>
          </cell>
          <cell r="CY28">
            <v>2224.641701</v>
          </cell>
          <cell r="CZ28">
            <v>13676</v>
          </cell>
          <cell r="DA28">
            <v>16</v>
          </cell>
          <cell r="DB28">
            <v>460</v>
          </cell>
          <cell r="DC28">
            <v>1376</v>
          </cell>
          <cell r="DD28">
            <v>2016</v>
          </cell>
          <cell r="DE28">
            <v>2236</v>
          </cell>
          <cell r="DF28">
            <v>1164</v>
          </cell>
          <cell r="DG28">
            <v>3316</v>
          </cell>
          <cell r="DH28">
            <v>3092</v>
          </cell>
          <cell r="DI28">
            <v>6314.199447</v>
          </cell>
          <cell r="DJ28">
            <v>1.0459769999999999</v>
          </cell>
          <cell r="DK28">
            <v>276.88858199999999</v>
          </cell>
          <cell r="DL28">
            <v>1169.494758</v>
          </cell>
          <cell r="DM28">
            <v>1149.1151789999999</v>
          </cell>
          <cell r="DN28">
            <v>532.40251699999999</v>
          </cell>
          <cell r="DO28">
            <v>759.64430000000004</v>
          </cell>
          <cell r="DP28">
            <v>1743.694156</v>
          </cell>
          <cell r="DQ28">
            <v>681.91397900000004</v>
          </cell>
          <cell r="DR28">
            <v>7625.1446759999999</v>
          </cell>
          <cell r="DS28">
            <v>3.3041</v>
          </cell>
          <cell r="DT28">
            <v>97.142296000000002</v>
          </cell>
          <cell r="DU28">
            <v>660.30094799999995</v>
          </cell>
          <cell r="DV28">
            <v>1202.42803</v>
          </cell>
          <cell r="DW28">
            <v>1582.9103299999999</v>
          </cell>
          <cell r="DX28">
            <v>201.53407000000001</v>
          </cell>
          <cell r="DY28">
            <v>2334.79718</v>
          </cell>
          <cell r="DZ28">
            <v>1542.727721</v>
          </cell>
          <cell r="EA28">
            <v>2008.4553679999999</v>
          </cell>
          <cell r="EB28">
            <v>0</v>
          </cell>
          <cell r="EC28">
            <v>5.4335719999999998</v>
          </cell>
          <cell r="ED28">
            <v>28.607455000000002</v>
          </cell>
          <cell r="EE28">
            <v>219.54958500000001</v>
          </cell>
          <cell r="EF28">
            <v>299.65592199999998</v>
          </cell>
          <cell r="EG28">
            <v>166.51629399999999</v>
          </cell>
          <cell r="EH28">
            <v>1.0459769999999999</v>
          </cell>
          <cell r="EI28">
            <v>1287.6465619999999</v>
          </cell>
          <cell r="EJ28">
            <v>6277.3504929999999</v>
          </cell>
          <cell r="EK28">
            <v>3.3041</v>
          </cell>
          <cell r="EL28">
            <v>270.60118999999997</v>
          </cell>
          <cell r="EM28">
            <v>1344.8379520000001</v>
          </cell>
          <cell r="EN28">
            <v>1913.8152050000001</v>
          </cell>
          <cell r="EO28">
            <v>1551.2438509999999</v>
          </cell>
          <cell r="EP28">
            <v>694.67787399999997</v>
          </cell>
          <cell r="EQ28">
            <v>39.720784999999999</v>
          </cell>
          <cell r="ER28">
            <v>459.14953700000001</v>
          </cell>
          <cell r="ES28">
            <v>5653.5382630000004</v>
          </cell>
          <cell r="ET28">
            <v>1.0459769999999999</v>
          </cell>
          <cell r="EU28">
            <v>97.996115000000003</v>
          </cell>
          <cell r="EV28">
            <v>456.3503</v>
          </cell>
          <cell r="EW28">
            <v>218.17841999999999</v>
          </cell>
          <cell r="EX28">
            <v>264.41307399999999</v>
          </cell>
          <cell r="EY28">
            <v>99.984201999999996</v>
          </cell>
          <cell r="EZ28">
            <v>4037.7245739999998</v>
          </cell>
          <cell r="FA28">
            <v>477.84560199999999</v>
          </cell>
        </row>
        <row r="29">
          <cell r="A29" t="str">
            <v>37217</v>
          </cell>
          <cell r="B29" t="str">
            <v>Saint-Étienne-de-Chigny</v>
          </cell>
          <cell r="C29" t="str">
            <v>Tour(s)plus</v>
          </cell>
          <cell r="D29">
            <v>1364</v>
          </cell>
          <cell r="E29">
            <v>1323</v>
          </cell>
          <cell r="F29">
            <v>1164</v>
          </cell>
          <cell r="G29">
            <v>846</v>
          </cell>
          <cell r="H29">
            <v>607</v>
          </cell>
          <cell r="I29">
            <v>692</v>
          </cell>
          <cell r="J29">
            <v>21.11</v>
          </cell>
          <cell r="K29">
            <v>143</v>
          </cell>
          <cell r="L29">
            <v>205</v>
          </cell>
          <cell r="M29">
            <v>134</v>
          </cell>
          <cell r="N29">
            <v>47</v>
          </cell>
          <cell r="O29">
            <v>53</v>
          </cell>
          <cell r="P29">
            <v>53</v>
          </cell>
          <cell r="Q29">
            <v>70</v>
          </cell>
          <cell r="R29">
            <v>68</v>
          </cell>
          <cell r="S29">
            <v>46</v>
          </cell>
          <cell r="T29">
            <v>68</v>
          </cell>
          <cell r="U29">
            <v>24</v>
          </cell>
          <cell r="V29">
            <v>17</v>
          </cell>
          <cell r="W29">
            <v>15</v>
          </cell>
          <cell r="X29">
            <v>20</v>
          </cell>
          <cell r="Y29">
            <v>22</v>
          </cell>
          <cell r="Z29">
            <v>18</v>
          </cell>
          <cell r="AA29">
            <v>19</v>
          </cell>
          <cell r="AB29">
            <v>31</v>
          </cell>
          <cell r="AC29">
            <v>18</v>
          </cell>
          <cell r="AD29">
            <v>27</v>
          </cell>
          <cell r="AE29">
            <v>3</v>
          </cell>
          <cell r="AF29">
            <v>11</v>
          </cell>
          <cell r="AG29">
            <v>4</v>
          </cell>
          <cell r="AH29">
            <v>6</v>
          </cell>
          <cell r="AI29">
            <v>3</v>
          </cell>
          <cell r="AJ29">
            <v>14</v>
          </cell>
          <cell r="AK29">
            <v>13</v>
          </cell>
          <cell r="AL29">
            <v>6</v>
          </cell>
          <cell r="AM29">
            <v>7</v>
          </cell>
          <cell r="AN29">
            <v>5</v>
          </cell>
          <cell r="AO29">
            <v>327</v>
          </cell>
          <cell r="AP29">
            <v>203</v>
          </cell>
          <cell r="AQ29">
            <v>354</v>
          </cell>
          <cell r="AR29">
            <v>323</v>
          </cell>
          <cell r="AS29">
            <v>112</v>
          </cell>
          <cell r="AT29">
            <v>45</v>
          </cell>
          <cell r="AU29">
            <v>319</v>
          </cell>
          <cell r="AV29">
            <v>249</v>
          </cell>
          <cell r="AW29">
            <v>361</v>
          </cell>
          <cell r="AX29">
            <v>232</v>
          </cell>
          <cell r="AY29">
            <v>112</v>
          </cell>
          <cell r="AZ29">
            <v>50</v>
          </cell>
          <cell r="BA29">
            <v>696</v>
          </cell>
          <cell r="BB29">
            <v>169</v>
          </cell>
          <cell r="BC29">
            <v>105</v>
          </cell>
          <cell r="BD29">
            <v>178</v>
          </cell>
          <cell r="BE29">
            <v>172</v>
          </cell>
          <cell r="BF29">
            <v>53</v>
          </cell>
          <cell r="BG29">
            <v>19</v>
          </cell>
          <cell r="BH29">
            <v>0</v>
          </cell>
          <cell r="BI29">
            <v>213</v>
          </cell>
          <cell r="BJ29">
            <v>436</v>
          </cell>
          <cell r="BK29">
            <v>47</v>
          </cell>
          <cell r="BL29">
            <v>668</v>
          </cell>
          <cell r="BM29">
            <v>158</v>
          </cell>
          <cell r="BN29">
            <v>98</v>
          </cell>
          <cell r="BO29">
            <v>176</v>
          </cell>
          <cell r="BP29">
            <v>151</v>
          </cell>
          <cell r="BQ29">
            <v>59</v>
          </cell>
          <cell r="BR29">
            <v>25</v>
          </cell>
          <cell r="BS29">
            <v>1</v>
          </cell>
          <cell r="BT29">
            <v>204</v>
          </cell>
          <cell r="BU29">
            <v>407</v>
          </cell>
          <cell r="BV29">
            <v>57</v>
          </cell>
          <cell r="BW29">
            <v>1278</v>
          </cell>
          <cell r="BX29">
            <v>917</v>
          </cell>
          <cell r="BY29">
            <v>57</v>
          </cell>
          <cell r="BZ29">
            <v>238</v>
          </cell>
          <cell r="CA29">
            <v>14</v>
          </cell>
          <cell r="CB29">
            <v>50</v>
          </cell>
          <cell r="CC29">
            <v>0</v>
          </cell>
          <cell r="CD29">
            <v>2</v>
          </cell>
          <cell r="CE29">
            <v>241</v>
          </cell>
          <cell r="CF29">
            <v>14</v>
          </cell>
          <cell r="CG29">
            <v>62</v>
          </cell>
          <cell r="CH29">
            <v>151</v>
          </cell>
          <cell r="CI29">
            <v>10</v>
          </cell>
          <cell r="CJ29">
            <v>34</v>
          </cell>
          <cell r="CK29">
            <v>643</v>
          </cell>
          <cell r="CL29">
            <v>29</v>
          </cell>
          <cell r="CM29">
            <v>179</v>
          </cell>
          <cell r="CN29">
            <v>243</v>
          </cell>
          <cell r="CO29">
            <v>4</v>
          </cell>
          <cell r="CP29">
            <v>29</v>
          </cell>
          <cell r="CQ29">
            <v>1049</v>
          </cell>
          <cell r="CR29">
            <v>4</v>
          </cell>
          <cell r="CS29">
            <v>40</v>
          </cell>
          <cell r="CT29">
            <v>96</v>
          </cell>
          <cell r="CU29">
            <v>152</v>
          </cell>
          <cell r="CV29">
            <v>256</v>
          </cell>
          <cell r="CW29">
            <v>208</v>
          </cell>
          <cell r="CX29">
            <v>149</v>
          </cell>
          <cell r="CY29">
            <v>144</v>
          </cell>
          <cell r="CZ29">
            <v>1036</v>
          </cell>
          <cell r="DA29">
            <v>4</v>
          </cell>
          <cell r="DB29">
            <v>28</v>
          </cell>
          <cell r="DC29">
            <v>76</v>
          </cell>
          <cell r="DD29">
            <v>200</v>
          </cell>
          <cell r="DE29">
            <v>164</v>
          </cell>
          <cell r="DF29">
            <v>212</v>
          </cell>
          <cell r="DG29">
            <v>152</v>
          </cell>
          <cell r="DH29">
            <v>200</v>
          </cell>
          <cell r="DI29">
            <v>536</v>
          </cell>
          <cell r="DJ29">
            <v>4</v>
          </cell>
          <cell r="DK29">
            <v>36</v>
          </cell>
          <cell r="DL29">
            <v>64</v>
          </cell>
          <cell r="DM29">
            <v>84</v>
          </cell>
          <cell r="DN29">
            <v>64</v>
          </cell>
          <cell r="DO29">
            <v>168</v>
          </cell>
          <cell r="DP29">
            <v>68</v>
          </cell>
          <cell r="DQ29">
            <v>48</v>
          </cell>
          <cell r="DR29">
            <v>513</v>
          </cell>
          <cell r="DS29">
            <v>0</v>
          </cell>
          <cell r="DT29">
            <v>4</v>
          </cell>
          <cell r="DU29">
            <v>32</v>
          </cell>
          <cell r="DV29">
            <v>68</v>
          </cell>
          <cell r="DW29">
            <v>192</v>
          </cell>
          <cell r="DX29">
            <v>40</v>
          </cell>
          <cell r="DY29">
            <v>81</v>
          </cell>
          <cell r="DZ29">
            <v>96</v>
          </cell>
          <cell r="EA29">
            <v>156</v>
          </cell>
          <cell r="EB29">
            <v>0</v>
          </cell>
          <cell r="EC29">
            <v>0</v>
          </cell>
          <cell r="ED29">
            <v>0</v>
          </cell>
          <cell r="EE29">
            <v>8</v>
          </cell>
          <cell r="EF29">
            <v>20</v>
          </cell>
          <cell r="EG29">
            <v>40</v>
          </cell>
          <cell r="EH29">
            <v>0</v>
          </cell>
          <cell r="EI29">
            <v>88</v>
          </cell>
          <cell r="EJ29">
            <v>680</v>
          </cell>
          <cell r="EK29">
            <v>0</v>
          </cell>
          <cell r="EL29">
            <v>36</v>
          </cell>
          <cell r="EM29">
            <v>92</v>
          </cell>
          <cell r="EN29">
            <v>136</v>
          </cell>
          <cell r="EO29">
            <v>232</v>
          </cell>
          <cell r="EP29">
            <v>156</v>
          </cell>
          <cell r="EQ29">
            <v>0</v>
          </cell>
          <cell r="ER29">
            <v>28</v>
          </cell>
          <cell r="ES29">
            <v>213</v>
          </cell>
          <cell r="ET29">
            <v>4</v>
          </cell>
          <cell r="EU29">
            <v>4</v>
          </cell>
          <cell r="EV29">
            <v>4</v>
          </cell>
          <cell r="EW29">
            <v>8</v>
          </cell>
          <cell r="EX29">
            <v>4</v>
          </cell>
          <cell r="EY29">
            <v>12</v>
          </cell>
          <cell r="EZ29">
            <v>149</v>
          </cell>
          <cell r="FA29">
            <v>28</v>
          </cell>
        </row>
        <row r="30">
          <cell r="A30" t="str">
            <v>37219</v>
          </cell>
          <cell r="B30" t="str">
            <v>Saint-Genouph</v>
          </cell>
          <cell r="C30" t="str">
            <v>Tour(s)plus</v>
          </cell>
          <cell r="D30">
            <v>1005</v>
          </cell>
          <cell r="E30">
            <v>940</v>
          </cell>
          <cell r="F30">
            <v>873</v>
          </cell>
          <cell r="G30">
            <v>805</v>
          </cell>
          <cell r="H30">
            <v>748</v>
          </cell>
          <cell r="I30">
            <v>672</v>
          </cell>
          <cell r="J30">
            <v>4.74</v>
          </cell>
          <cell r="K30">
            <v>94</v>
          </cell>
          <cell r="L30">
            <v>106</v>
          </cell>
          <cell r="M30">
            <v>85</v>
          </cell>
          <cell r="N30">
            <v>44</v>
          </cell>
          <cell r="O30">
            <v>110</v>
          </cell>
          <cell r="P30">
            <v>38</v>
          </cell>
          <cell r="Q30">
            <v>59</v>
          </cell>
          <cell r="R30">
            <v>57</v>
          </cell>
          <cell r="S30">
            <v>35</v>
          </cell>
          <cell r="T30">
            <v>43</v>
          </cell>
          <cell r="U30">
            <v>12</v>
          </cell>
          <cell r="V30">
            <v>5</v>
          </cell>
          <cell r="W30">
            <v>10</v>
          </cell>
          <cell r="X30">
            <v>15</v>
          </cell>
          <cell r="Y30">
            <v>6</v>
          </cell>
          <cell r="Z30">
            <v>13</v>
          </cell>
          <cell r="AA30">
            <v>13</v>
          </cell>
          <cell r="AB30">
            <v>23</v>
          </cell>
          <cell r="AC30">
            <v>14</v>
          </cell>
          <cell r="AD30">
            <v>10</v>
          </cell>
          <cell r="AE30">
            <v>7</v>
          </cell>
          <cell r="AF30">
            <v>5</v>
          </cell>
          <cell r="AG30">
            <v>5</v>
          </cell>
          <cell r="AH30">
            <v>11</v>
          </cell>
          <cell r="AI30">
            <v>4</v>
          </cell>
          <cell r="AJ30">
            <v>5</v>
          </cell>
          <cell r="AK30">
            <v>4</v>
          </cell>
          <cell r="AL30">
            <v>3</v>
          </cell>
          <cell r="AM30">
            <v>6</v>
          </cell>
          <cell r="AN30">
            <v>4</v>
          </cell>
          <cell r="AO30">
            <v>215</v>
          </cell>
          <cell r="AP30">
            <v>139</v>
          </cell>
          <cell r="AQ30">
            <v>250</v>
          </cell>
          <cell r="AR30">
            <v>230</v>
          </cell>
          <cell r="AS30">
            <v>116</v>
          </cell>
          <cell r="AT30">
            <v>55</v>
          </cell>
          <cell r="AU30">
            <v>211</v>
          </cell>
          <cell r="AV30">
            <v>152</v>
          </cell>
          <cell r="AW30">
            <v>240</v>
          </cell>
          <cell r="AX30">
            <v>182</v>
          </cell>
          <cell r="AY30">
            <v>110</v>
          </cell>
          <cell r="AZ30">
            <v>45</v>
          </cell>
          <cell r="BA30">
            <v>516</v>
          </cell>
          <cell r="BB30">
            <v>114</v>
          </cell>
          <cell r="BC30">
            <v>81</v>
          </cell>
          <cell r="BD30">
            <v>122</v>
          </cell>
          <cell r="BE30">
            <v>124</v>
          </cell>
          <cell r="BF30">
            <v>54</v>
          </cell>
          <cell r="BG30">
            <v>21</v>
          </cell>
          <cell r="BH30">
            <v>0</v>
          </cell>
          <cell r="BI30">
            <v>156</v>
          </cell>
          <cell r="BJ30">
            <v>309</v>
          </cell>
          <cell r="BK30">
            <v>51</v>
          </cell>
          <cell r="BL30">
            <v>489</v>
          </cell>
          <cell r="BM30">
            <v>101</v>
          </cell>
          <cell r="BN30">
            <v>58</v>
          </cell>
          <cell r="BO30">
            <v>128</v>
          </cell>
          <cell r="BP30">
            <v>106</v>
          </cell>
          <cell r="BQ30">
            <v>62</v>
          </cell>
          <cell r="BR30">
            <v>30</v>
          </cell>
          <cell r="BS30">
            <v>4</v>
          </cell>
          <cell r="BT30">
            <v>132</v>
          </cell>
          <cell r="BU30">
            <v>287</v>
          </cell>
          <cell r="BV30">
            <v>70</v>
          </cell>
          <cell r="BW30">
            <v>943</v>
          </cell>
          <cell r="BX30">
            <v>709</v>
          </cell>
          <cell r="BY30">
            <v>28</v>
          </cell>
          <cell r="BZ30">
            <v>182</v>
          </cell>
          <cell r="CA30">
            <v>4</v>
          </cell>
          <cell r="CB30">
            <v>19</v>
          </cell>
          <cell r="CC30">
            <v>0</v>
          </cell>
          <cell r="CD30">
            <v>1</v>
          </cell>
          <cell r="CE30">
            <v>153</v>
          </cell>
          <cell r="CF30">
            <v>6</v>
          </cell>
          <cell r="CG30">
            <v>39</v>
          </cell>
          <cell r="CH30">
            <v>114</v>
          </cell>
          <cell r="CI30">
            <v>5</v>
          </cell>
          <cell r="CJ30">
            <v>22</v>
          </cell>
          <cell r="CK30">
            <v>438</v>
          </cell>
          <cell r="CL30">
            <v>14</v>
          </cell>
          <cell r="CM30">
            <v>131</v>
          </cell>
          <cell r="CN30">
            <v>238</v>
          </cell>
          <cell r="CO30">
            <v>3</v>
          </cell>
          <cell r="CP30">
            <v>14</v>
          </cell>
          <cell r="CQ30">
            <v>784</v>
          </cell>
          <cell r="CR30">
            <v>4</v>
          </cell>
          <cell r="CS30">
            <v>36</v>
          </cell>
          <cell r="CT30">
            <v>60</v>
          </cell>
          <cell r="CU30">
            <v>120</v>
          </cell>
          <cell r="CV30">
            <v>164</v>
          </cell>
          <cell r="CW30">
            <v>108</v>
          </cell>
          <cell r="CX30">
            <v>188</v>
          </cell>
          <cell r="CY30">
            <v>104</v>
          </cell>
          <cell r="CZ30">
            <v>728</v>
          </cell>
          <cell r="DA30">
            <v>32</v>
          </cell>
          <cell r="DB30">
            <v>36</v>
          </cell>
          <cell r="DC30">
            <v>20</v>
          </cell>
          <cell r="DD30">
            <v>116</v>
          </cell>
          <cell r="DE30">
            <v>148</v>
          </cell>
          <cell r="DF30">
            <v>140</v>
          </cell>
          <cell r="DG30">
            <v>148</v>
          </cell>
          <cell r="DH30">
            <v>88</v>
          </cell>
          <cell r="DI30">
            <v>396</v>
          </cell>
          <cell r="DJ30">
            <v>4</v>
          </cell>
          <cell r="DK30">
            <v>36</v>
          </cell>
          <cell r="DL30">
            <v>36</v>
          </cell>
          <cell r="DM30">
            <v>56</v>
          </cell>
          <cell r="DN30">
            <v>24</v>
          </cell>
          <cell r="DO30">
            <v>96</v>
          </cell>
          <cell r="DP30">
            <v>96</v>
          </cell>
          <cell r="DQ30">
            <v>48</v>
          </cell>
          <cell r="DR30">
            <v>388</v>
          </cell>
          <cell r="DS30">
            <v>0</v>
          </cell>
          <cell r="DT30">
            <v>0</v>
          </cell>
          <cell r="DU30">
            <v>24</v>
          </cell>
          <cell r="DV30">
            <v>64</v>
          </cell>
          <cell r="DW30">
            <v>140</v>
          </cell>
          <cell r="DX30">
            <v>12</v>
          </cell>
          <cell r="DY30">
            <v>92</v>
          </cell>
          <cell r="DZ30">
            <v>56</v>
          </cell>
          <cell r="EA30">
            <v>116</v>
          </cell>
          <cell r="EB30">
            <v>0</v>
          </cell>
          <cell r="EC30">
            <v>0</v>
          </cell>
          <cell r="ED30">
            <v>0</v>
          </cell>
          <cell r="EE30">
            <v>8</v>
          </cell>
          <cell r="EF30">
            <v>8</v>
          </cell>
          <cell r="EG30">
            <v>20</v>
          </cell>
          <cell r="EH30">
            <v>0</v>
          </cell>
          <cell r="EI30">
            <v>80</v>
          </cell>
          <cell r="EJ30">
            <v>416</v>
          </cell>
          <cell r="EK30">
            <v>4</v>
          </cell>
          <cell r="EL30">
            <v>36</v>
          </cell>
          <cell r="EM30">
            <v>52</v>
          </cell>
          <cell r="EN30">
            <v>104</v>
          </cell>
          <cell r="EO30">
            <v>132</v>
          </cell>
          <cell r="EP30">
            <v>80</v>
          </cell>
          <cell r="EQ30">
            <v>4</v>
          </cell>
          <cell r="ER30">
            <v>4</v>
          </cell>
          <cell r="ES30">
            <v>252</v>
          </cell>
          <cell r="ET30">
            <v>0</v>
          </cell>
          <cell r="EU30">
            <v>0</v>
          </cell>
          <cell r="EV30">
            <v>8</v>
          </cell>
          <cell r="EW30">
            <v>8</v>
          </cell>
          <cell r="EX30">
            <v>24</v>
          </cell>
          <cell r="EY30">
            <v>8</v>
          </cell>
          <cell r="EZ30">
            <v>184</v>
          </cell>
          <cell r="FA30">
            <v>20</v>
          </cell>
        </row>
        <row r="31">
          <cell r="A31" t="str">
            <v>37233</v>
          </cell>
          <cell r="B31" t="str">
            <v>Saint-Pierre-des-Corps</v>
          </cell>
          <cell r="C31" t="str">
            <v>Tour(s)plus</v>
          </cell>
          <cell r="D31">
            <v>15650.663317</v>
          </cell>
          <cell r="E31">
            <v>15757</v>
          </cell>
          <cell r="F31">
            <v>17947</v>
          </cell>
          <cell r="G31">
            <v>18313</v>
          </cell>
          <cell r="H31">
            <v>18292</v>
          </cell>
          <cell r="I31">
            <v>15232</v>
          </cell>
          <cell r="J31">
            <v>11.28</v>
          </cell>
          <cell r="K31">
            <v>1377</v>
          </cell>
          <cell r="L31">
            <v>1902</v>
          </cell>
          <cell r="M31">
            <v>2328</v>
          </cell>
          <cell r="N31">
            <v>2073</v>
          </cell>
          <cell r="O31">
            <v>2197</v>
          </cell>
          <cell r="P31">
            <v>859</v>
          </cell>
          <cell r="Q31">
            <v>1109</v>
          </cell>
          <cell r="R31">
            <v>1067</v>
          </cell>
          <cell r="S31">
            <v>904</v>
          </cell>
          <cell r="T31">
            <v>949</v>
          </cell>
          <cell r="U31">
            <v>214</v>
          </cell>
          <cell r="V31">
            <v>225</v>
          </cell>
          <cell r="W31">
            <v>226</v>
          </cell>
          <cell r="X31">
            <v>183</v>
          </cell>
          <cell r="Y31">
            <v>162</v>
          </cell>
          <cell r="Z31">
            <v>200</v>
          </cell>
          <cell r="AA31">
            <v>202</v>
          </cell>
          <cell r="AB31">
            <v>205</v>
          </cell>
          <cell r="AC31">
            <v>199</v>
          </cell>
          <cell r="AD31">
            <v>168</v>
          </cell>
          <cell r="AE31">
            <v>115</v>
          </cell>
          <cell r="AF31">
            <v>127</v>
          </cell>
          <cell r="AG31">
            <v>119</v>
          </cell>
          <cell r="AH31">
            <v>97</v>
          </cell>
          <cell r="AI31">
            <v>129</v>
          </cell>
          <cell r="AJ31">
            <v>121</v>
          </cell>
          <cell r="AK31">
            <v>142</v>
          </cell>
          <cell r="AL31">
            <v>122</v>
          </cell>
          <cell r="AM31">
            <v>129</v>
          </cell>
          <cell r="AN31">
            <v>110</v>
          </cell>
          <cell r="AO31">
            <v>2769.5287199999998</v>
          </cell>
          <cell r="AP31">
            <v>2856.9137599999999</v>
          </cell>
          <cell r="AQ31">
            <v>2884.983021</v>
          </cell>
          <cell r="AR31">
            <v>3338.142527</v>
          </cell>
          <cell r="AS31">
            <v>2340.2788580000001</v>
          </cell>
          <cell r="AT31">
            <v>1460.816431</v>
          </cell>
          <cell r="AU31">
            <v>2791</v>
          </cell>
          <cell r="AV31">
            <v>3374</v>
          </cell>
          <cell r="AW31">
            <v>3134</v>
          </cell>
          <cell r="AX31">
            <v>3099</v>
          </cell>
          <cell r="AY31">
            <v>2210</v>
          </cell>
          <cell r="AZ31">
            <v>1149</v>
          </cell>
          <cell r="BA31">
            <v>7460.3552749999999</v>
          </cell>
          <cell r="BB31">
            <v>1455.463352</v>
          </cell>
          <cell r="BC31">
            <v>1444.685095</v>
          </cell>
          <cell r="BD31">
            <v>1362.875327</v>
          </cell>
          <cell r="BE31">
            <v>1548.3342520000001</v>
          </cell>
          <cell r="BF31">
            <v>1076.1431279999999</v>
          </cell>
          <cell r="BG31">
            <v>535.054664</v>
          </cell>
          <cell r="BH31">
            <v>37.799458000000001</v>
          </cell>
          <cell r="BI31">
            <v>2021.2142779999999</v>
          </cell>
          <cell r="BJ31">
            <v>4205.0890900000004</v>
          </cell>
          <cell r="BK31">
            <v>1234.0519079999999</v>
          </cell>
          <cell r="BL31">
            <v>8190.3080410000002</v>
          </cell>
          <cell r="BM31">
            <v>1314.065368</v>
          </cell>
          <cell r="BN31">
            <v>1412.2286650000001</v>
          </cell>
          <cell r="BO31">
            <v>1522.1076949999999</v>
          </cell>
          <cell r="BP31">
            <v>1789.8082750000001</v>
          </cell>
          <cell r="BQ31">
            <v>1264.13573</v>
          </cell>
          <cell r="BR31">
            <v>845.79132600000003</v>
          </cell>
          <cell r="BS31">
            <v>42.170983</v>
          </cell>
          <cell r="BT31">
            <v>1828.7038250000001</v>
          </cell>
          <cell r="BU31">
            <v>4678.7129260000002</v>
          </cell>
          <cell r="BV31">
            <v>1682.89129</v>
          </cell>
          <cell r="BW31">
            <v>14695.842452000001</v>
          </cell>
          <cell r="BX31">
            <v>9902.1500090000009</v>
          </cell>
          <cell r="BY31">
            <v>2080.7738239999999</v>
          </cell>
          <cell r="BZ31">
            <v>1574.7589989999999</v>
          </cell>
          <cell r="CA31">
            <v>264.47359299999999</v>
          </cell>
          <cell r="CB31">
            <v>605.67065600000001</v>
          </cell>
          <cell r="CC31">
            <v>35.993645000000001</v>
          </cell>
          <cell r="CD31">
            <v>232.021726</v>
          </cell>
          <cell r="CE31">
            <v>1825.285044</v>
          </cell>
          <cell r="CF31">
            <v>372.20947899999999</v>
          </cell>
          <cell r="CG31">
            <v>348.01208500000001</v>
          </cell>
          <cell r="CH31">
            <v>2069.9859510000001</v>
          </cell>
          <cell r="CI31">
            <v>384.55778299999997</v>
          </cell>
          <cell r="CJ31">
            <v>594.008871</v>
          </cell>
          <cell r="CK31">
            <v>5931.6811870000001</v>
          </cell>
          <cell r="CL31">
            <v>975.78244199999995</v>
          </cell>
          <cell r="CM31">
            <v>1589.1828190000001</v>
          </cell>
          <cell r="CN31">
            <v>4879.4674580000001</v>
          </cell>
          <cell r="CO31">
            <v>348.22412100000003</v>
          </cell>
          <cell r="CP31">
            <v>181.714845</v>
          </cell>
          <cell r="CQ31">
            <v>12882.725408</v>
          </cell>
          <cell r="CR31">
            <v>7.0268179999999996</v>
          </cell>
          <cell r="CS31">
            <v>220.071901</v>
          </cell>
          <cell r="CT31">
            <v>510.67305599999997</v>
          </cell>
          <cell r="CU31">
            <v>1313.60762</v>
          </cell>
          <cell r="CV31">
            <v>2360.355223</v>
          </cell>
          <cell r="CW31">
            <v>2279.915422</v>
          </cell>
          <cell r="CX31">
            <v>3798.6518799999999</v>
          </cell>
          <cell r="CY31">
            <v>2392.4234879999999</v>
          </cell>
          <cell r="CZ31">
            <v>13024</v>
          </cell>
          <cell r="DA31">
            <v>20</v>
          </cell>
          <cell r="DB31">
            <v>280</v>
          </cell>
          <cell r="DC31">
            <v>420</v>
          </cell>
          <cell r="DD31">
            <v>1232</v>
          </cell>
          <cell r="DE31">
            <v>2340</v>
          </cell>
          <cell r="DF31">
            <v>2772</v>
          </cell>
          <cell r="DG31">
            <v>3072</v>
          </cell>
          <cell r="DH31">
            <v>2888</v>
          </cell>
          <cell r="DI31">
            <v>6013.5589380000001</v>
          </cell>
          <cell r="DJ31">
            <v>7.0268179999999996</v>
          </cell>
          <cell r="DK31">
            <v>149.59314599999999</v>
          </cell>
          <cell r="DL31">
            <v>311.94202200000001</v>
          </cell>
          <cell r="DM31">
            <v>566.04778299999998</v>
          </cell>
          <cell r="DN31">
            <v>485.058742</v>
          </cell>
          <cell r="DO31">
            <v>1867.5281910000001</v>
          </cell>
          <cell r="DP31">
            <v>1783.0556469999999</v>
          </cell>
          <cell r="DQ31">
            <v>843.30658800000003</v>
          </cell>
          <cell r="DR31">
            <v>6869.1664700000001</v>
          </cell>
          <cell r="DS31">
            <v>0</v>
          </cell>
          <cell r="DT31">
            <v>70.478755000000007</v>
          </cell>
          <cell r="DU31">
            <v>198.73103399999999</v>
          </cell>
          <cell r="DV31">
            <v>747.55983700000002</v>
          </cell>
          <cell r="DW31">
            <v>1875.2964810000001</v>
          </cell>
          <cell r="DX31">
            <v>412.38723099999999</v>
          </cell>
          <cell r="DY31">
            <v>2015.596233</v>
          </cell>
          <cell r="DZ31">
            <v>1549.1169</v>
          </cell>
          <cell r="EA31">
            <v>2059.7387920000001</v>
          </cell>
          <cell r="EB31">
            <v>0</v>
          </cell>
          <cell r="EC31">
            <v>14.245134</v>
          </cell>
          <cell r="ED31">
            <v>9.4125999999999994</v>
          </cell>
          <cell r="EE31">
            <v>164.65031200000001</v>
          </cell>
          <cell r="EF31">
            <v>328.74276900000001</v>
          </cell>
          <cell r="EG31">
            <v>397.22860800000001</v>
          </cell>
          <cell r="EH31">
            <v>0</v>
          </cell>
          <cell r="EI31">
            <v>1145.4593689999999</v>
          </cell>
          <cell r="EJ31">
            <v>5941.160183</v>
          </cell>
          <cell r="EK31">
            <v>4.6331119999999997</v>
          </cell>
          <cell r="EL31">
            <v>178.80529100000001</v>
          </cell>
          <cell r="EM31">
            <v>422.75116600000001</v>
          </cell>
          <cell r="EN31">
            <v>1047.7796989999999</v>
          </cell>
          <cell r="EO31">
            <v>1768.2327359999999</v>
          </cell>
          <cell r="EP31">
            <v>1655.9708840000001</v>
          </cell>
          <cell r="EQ31">
            <v>60.279622000000003</v>
          </cell>
          <cell r="ER31">
            <v>802.707673</v>
          </cell>
          <cell r="ES31">
            <v>4881.8264330000002</v>
          </cell>
          <cell r="ET31">
            <v>2.3937059999999999</v>
          </cell>
          <cell r="EU31">
            <v>27.021476</v>
          </cell>
          <cell r="EV31">
            <v>78.509289999999993</v>
          </cell>
          <cell r="EW31">
            <v>101.177609</v>
          </cell>
          <cell r="EX31">
            <v>263.37971800000003</v>
          </cell>
          <cell r="EY31">
            <v>226.71592999999999</v>
          </cell>
          <cell r="EZ31">
            <v>3738.3722579999999</v>
          </cell>
          <cell r="FA31">
            <v>444.25644599999998</v>
          </cell>
        </row>
        <row r="32">
          <cell r="A32" t="str">
            <v>37243</v>
          </cell>
          <cell r="B32" t="str">
            <v>Savonnières</v>
          </cell>
          <cell r="C32" t="str">
            <v>Tour(s)plus</v>
          </cell>
          <cell r="D32">
            <v>2919</v>
          </cell>
          <cell r="E32">
            <v>2558</v>
          </cell>
          <cell r="F32">
            <v>2030</v>
          </cell>
          <cell r="G32">
            <v>1813</v>
          </cell>
          <cell r="H32">
            <v>1446</v>
          </cell>
          <cell r="I32">
            <v>1260</v>
          </cell>
          <cell r="J32">
            <v>16.46</v>
          </cell>
          <cell r="K32">
            <v>219</v>
          </cell>
          <cell r="L32">
            <v>222</v>
          </cell>
          <cell r="M32">
            <v>167</v>
          </cell>
          <cell r="N32">
            <v>132</v>
          </cell>
          <cell r="O32">
            <v>130</v>
          </cell>
          <cell r="P32">
            <v>96</v>
          </cell>
          <cell r="Q32">
            <v>150</v>
          </cell>
          <cell r="R32">
            <v>93</v>
          </cell>
          <cell r="S32">
            <v>93</v>
          </cell>
          <cell r="T32">
            <v>108</v>
          </cell>
          <cell r="U32">
            <v>27</v>
          </cell>
          <cell r="V32">
            <v>36</v>
          </cell>
          <cell r="W32">
            <v>35</v>
          </cell>
          <cell r="X32">
            <v>24</v>
          </cell>
          <cell r="Y32">
            <v>26</v>
          </cell>
          <cell r="Z32">
            <v>34</v>
          </cell>
          <cell r="AA32">
            <v>36</v>
          </cell>
          <cell r="AB32">
            <v>30</v>
          </cell>
          <cell r="AC32">
            <v>34</v>
          </cell>
          <cell r="AD32">
            <v>29</v>
          </cell>
          <cell r="AE32">
            <v>12</v>
          </cell>
          <cell r="AF32">
            <v>9</v>
          </cell>
          <cell r="AG32">
            <v>16</v>
          </cell>
          <cell r="AH32">
            <v>12</v>
          </cell>
          <cell r="AI32">
            <v>13</v>
          </cell>
          <cell r="AJ32">
            <v>13</v>
          </cell>
          <cell r="AK32">
            <v>15</v>
          </cell>
          <cell r="AL32">
            <v>8</v>
          </cell>
          <cell r="AM32">
            <v>19</v>
          </cell>
          <cell r="AN32">
            <v>18</v>
          </cell>
          <cell r="AO32">
            <v>616.43022900000005</v>
          </cell>
          <cell r="AP32">
            <v>408.76665600000001</v>
          </cell>
          <cell r="AQ32">
            <v>661.87504100000001</v>
          </cell>
          <cell r="AR32">
            <v>698.556513</v>
          </cell>
          <cell r="AS32">
            <v>372.98375900000002</v>
          </cell>
          <cell r="AT32">
            <v>160.38780199999999</v>
          </cell>
          <cell r="AU32">
            <v>545</v>
          </cell>
          <cell r="AV32">
            <v>384</v>
          </cell>
          <cell r="AW32">
            <v>646</v>
          </cell>
          <cell r="AX32">
            <v>554</v>
          </cell>
          <cell r="AY32">
            <v>314</v>
          </cell>
          <cell r="AZ32">
            <v>115</v>
          </cell>
          <cell r="BA32">
            <v>1463.8140539999999</v>
          </cell>
          <cell r="BB32">
            <v>322.707988</v>
          </cell>
          <cell r="BC32">
            <v>204.86642399999999</v>
          </cell>
          <cell r="BD32">
            <v>314.01226400000002</v>
          </cell>
          <cell r="BE32">
            <v>360.38945999999999</v>
          </cell>
          <cell r="BF32">
            <v>187.44116700000001</v>
          </cell>
          <cell r="BG32">
            <v>73.43056</v>
          </cell>
          <cell r="BH32">
            <v>0.96619200000000005</v>
          </cell>
          <cell r="BI32">
            <v>412.563805</v>
          </cell>
          <cell r="BJ32">
            <v>888.93006300000002</v>
          </cell>
          <cell r="BK32">
            <v>162.32018600000001</v>
          </cell>
          <cell r="BL32">
            <v>1455.1859460000001</v>
          </cell>
          <cell r="BM32">
            <v>293.722241</v>
          </cell>
          <cell r="BN32">
            <v>203.90023199999999</v>
          </cell>
          <cell r="BO32">
            <v>347.86277799999999</v>
          </cell>
          <cell r="BP32">
            <v>338.16705300000001</v>
          </cell>
          <cell r="BQ32">
            <v>185.54259200000001</v>
          </cell>
          <cell r="BR32">
            <v>79.227710000000002</v>
          </cell>
          <cell r="BS32">
            <v>6.7633409999999996</v>
          </cell>
          <cell r="BT32">
            <v>385.51044100000001</v>
          </cell>
          <cell r="BU32">
            <v>889.93006300000002</v>
          </cell>
          <cell r="BV32">
            <v>179.745442</v>
          </cell>
          <cell r="BW32">
            <v>2739.2883660000002</v>
          </cell>
          <cell r="BX32">
            <v>1934.3831620000001</v>
          </cell>
          <cell r="BY32">
            <v>119.807756</v>
          </cell>
          <cell r="BZ32">
            <v>478.26483300000001</v>
          </cell>
          <cell r="CA32">
            <v>14.492874</v>
          </cell>
          <cell r="CB32">
            <v>177.846868</v>
          </cell>
          <cell r="CC32">
            <v>0</v>
          </cell>
          <cell r="CD32">
            <v>14.492874</v>
          </cell>
          <cell r="CE32">
            <v>438.65097800000001</v>
          </cell>
          <cell r="CF32">
            <v>28.985747</v>
          </cell>
          <cell r="CG32">
            <v>119.807756</v>
          </cell>
          <cell r="CH32">
            <v>305.38415600000002</v>
          </cell>
          <cell r="CI32">
            <v>9.6619159999999997</v>
          </cell>
          <cell r="CJ32">
            <v>78.261517999999995</v>
          </cell>
          <cell r="CK32">
            <v>1224.1985420000001</v>
          </cell>
          <cell r="CL32">
            <v>69.565793999999997</v>
          </cell>
          <cell r="CM32">
            <v>416.46238</v>
          </cell>
          <cell r="CN32">
            <v>772.98707300000001</v>
          </cell>
          <cell r="CO32">
            <v>11.594298999999999</v>
          </cell>
          <cell r="CP32">
            <v>70.565793999999997</v>
          </cell>
          <cell r="CQ32">
            <v>2318.9950279999998</v>
          </cell>
          <cell r="CR32">
            <v>7.729533</v>
          </cell>
          <cell r="CS32">
            <v>131.40205499999999</v>
          </cell>
          <cell r="CT32">
            <v>239.615512</v>
          </cell>
          <cell r="CU32">
            <v>390.34139900000002</v>
          </cell>
          <cell r="CV32">
            <v>359.55850199999998</v>
          </cell>
          <cell r="CW32">
            <v>278.26317499999999</v>
          </cell>
          <cell r="CX32">
            <v>595.17401400000006</v>
          </cell>
          <cell r="CY32">
            <v>316.91083900000001</v>
          </cell>
          <cell r="CZ32">
            <v>1980</v>
          </cell>
          <cell r="DA32">
            <v>16</v>
          </cell>
          <cell r="DB32">
            <v>124</v>
          </cell>
          <cell r="DC32">
            <v>116</v>
          </cell>
          <cell r="DD32">
            <v>408</v>
          </cell>
          <cell r="DE32">
            <v>344</v>
          </cell>
          <cell r="DF32">
            <v>252</v>
          </cell>
          <cell r="DG32">
            <v>404</v>
          </cell>
          <cell r="DH32">
            <v>316</v>
          </cell>
          <cell r="DI32">
            <v>1163.294664</v>
          </cell>
          <cell r="DJ32">
            <v>7.729533</v>
          </cell>
          <cell r="DK32">
            <v>112.07822299999999</v>
          </cell>
          <cell r="DL32">
            <v>162.32018600000001</v>
          </cell>
          <cell r="DM32">
            <v>162.32018600000001</v>
          </cell>
          <cell r="DN32">
            <v>50.241962000000001</v>
          </cell>
          <cell r="DO32">
            <v>224.15644699999999</v>
          </cell>
          <cell r="DP32">
            <v>324.64037100000002</v>
          </cell>
          <cell r="DQ32">
            <v>119.807756</v>
          </cell>
          <cell r="DR32">
            <v>1155.7003649999999</v>
          </cell>
          <cell r="DS32">
            <v>0</v>
          </cell>
          <cell r="DT32">
            <v>19.323831999999999</v>
          </cell>
          <cell r="DU32">
            <v>77.295326000000003</v>
          </cell>
          <cell r="DV32">
            <v>228.02121299999999</v>
          </cell>
          <cell r="DW32">
            <v>309.31653999999997</v>
          </cell>
          <cell r="DX32">
            <v>54.106729000000001</v>
          </cell>
          <cell r="DY32">
            <v>270.53364299999998</v>
          </cell>
          <cell r="DZ32">
            <v>197.103083</v>
          </cell>
          <cell r="EA32">
            <v>340.09943700000002</v>
          </cell>
          <cell r="EB32">
            <v>0</v>
          </cell>
          <cell r="EC32">
            <v>0</v>
          </cell>
          <cell r="ED32">
            <v>0</v>
          </cell>
          <cell r="EE32">
            <v>15.459065000000001</v>
          </cell>
          <cell r="EF32">
            <v>42.512430000000002</v>
          </cell>
          <cell r="EG32">
            <v>50.241962000000001</v>
          </cell>
          <cell r="EH32">
            <v>0</v>
          </cell>
          <cell r="EI32">
            <v>231.88597899999999</v>
          </cell>
          <cell r="EJ32">
            <v>1202.0775599999999</v>
          </cell>
          <cell r="EK32">
            <v>7.729533</v>
          </cell>
          <cell r="EL32">
            <v>108.21345700000001</v>
          </cell>
          <cell r="EM32">
            <v>208.697382</v>
          </cell>
          <cell r="EN32">
            <v>336.23466999999999</v>
          </cell>
          <cell r="EO32">
            <v>270.66887600000001</v>
          </cell>
          <cell r="EP32">
            <v>212.56214800000001</v>
          </cell>
          <cell r="EQ32">
            <v>15.459065000000001</v>
          </cell>
          <cell r="ER32">
            <v>42.512430000000002</v>
          </cell>
          <cell r="ES32">
            <v>776.81803100000002</v>
          </cell>
          <cell r="ET32">
            <v>0</v>
          </cell>
          <cell r="EU32">
            <v>23.188597999999999</v>
          </cell>
          <cell r="EV32">
            <v>30.918130999999999</v>
          </cell>
          <cell r="EW32">
            <v>38.647663000000001</v>
          </cell>
          <cell r="EX32">
            <v>46.377195999999998</v>
          </cell>
          <cell r="EY32">
            <v>15.459065000000001</v>
          </cell>
          <cell r="EZ32">
            <v>579.71494900000005</v>
          </cell>
          <cell r="FA32">
            <v>42.512430000000002</v>
          </cell>
        </row>
        <row r="33">
          <cell r="A33" t="str">
            <v>37250</v>
          </cell>
          <cell r="B33" t="str">
            <v>Sorigny</v>
          </cell>
          <cell r="C33" t="str">
            <v>CC du Val de l'Indre</v>
          </cell>
          <cell r="D33">
            <v>2090.5765849999998</v>
          </cell>
          <cell r="E33">
            <v>1911</v>
          </cell>
          <cell r="F33">
            <v>1637</v>
          </cell>
          <cell r="G33">
            <v>1520</v>
          </cell>
          <cell r="H33">
            <v>1313</v>
          </cell>
          <cell r="I33">
            <v>1256</v>
          </cell>
          <cell r="J33">
            <v>43.43</v>
          </cell>
          <cell r="K33">
            <v>171</v>
          </cell>
          <cell r="L33">
            <v>188</v>
          </cell>
          <cell r="M33">
            <v>158</v>
          </cell>
          <cell r="N33">
            <v>110</v>
          </cell>
          <cell r="O33">
            <v>155</v>
          </cell>
          <cell r="P33">
            <v>75</v>
          </cell>
          <cell r="Q33">
            <v>87</v>
          </cell>
          <cell r="R33">
            <v>89</v>
          </cell>
          <cell r="S33">
            <v>72</v>
          </cell>
          <cell r="T33">
            <v>80</v>
          </cell>
          <cell r="U33">
            <v>19</v>
          </cell>
          <cell r="V33">
            <v>31</v>
          </cell>
          <cell r="W33">
            <v>20</v>
          </cell>
          <cell r="X33">
            <v>26</v>
          </cell>
          <cell r="Y33">
            <v>25</v>
          </cell>
          <cell r="Z33">
            <v>23</v>
          </cell>
          <cell r="AA33">
            <v>19</v>
          </cell>
          <cell r="AB33">
            <v>28</v>
          </cell>
          <cell r="AC33">
            <v>30</v>
          </cell>
          <cell r="AD33">
            <v>29</v>
          </cell>
          <cell r="AE33">
            <v>16</v>
          </cell>
          <cell r="AF33">
            <v>9</v>
          </cell>
          <cell r="AG33">
            <v>11</v>
          </cell>
          <cell r="AH33">
            <v>8</v>
          </cell>
          <cell r="AI33">
            <v>9</v>
          </cell>
          <cell r="AJ33">
            <v>9</v>
          </cell>
          <cell r="AK33">
            <v>16</v>
          </cell>
          <cell r="AL33">
            <v>15</v>
          </cell>
          <cell r="AM33">
            <v>7</v>
          </cell>
          <cell r="AN33">
            <v>7</v>
          </cell>
          <cell r="AO33">
            <v>404.22227700000002</v>
          </cell>
          <cell r="AP33">
            <v>378.46022399999998</v>
          </cell>
          <cell r="AQ33">
            <v>489.609647</v>
          </cell>
          <cell r="AR33">
            <v>415.11088999999998</v>
          </cell>
          <cell r="AS33">
            <v>260.17603200000002</v>
          </cell>
          <cell r="AT33">
            <v>142.997514</v>
          </cell>
          <cell r="AU33">
            <v>430</v>
          </cell>
          <cell r="AV33">
            <v>333</v>
          </cell>
          <cell r="AW33">
            <v>478</v>
          </cell>
          <cell r="AX33">
            <v>332</v>
          </cell>
          <cell r="AY33">
            <v>256</v>
          </cell>
          <cell r="AZ33">
            <v>82</v>
          </cell>
          <cell r="BA33">
            <v>1125.2367879999999</v>
          </cell>
          <cell r="BB33">
            <v>232.39880700000001</v>
          </cell>
          <cell r="BC33">
            <v>229.45359500000001</v>
          </cell>
          <cell r="BD33">
            <v>246.29438099999999</v>
          </cell>
          <cell r="BE33">
            <v>219.47538499999999</v>
          </cell>
          <cell r="BF33">
            <v>127.108901</v>
          </cell>
          <cell r="BG33">
            <v>68.519642000000005</v>
          </cell>
          <cell r="BH33">
            <v>1.9860770000000001</v>
          </cell>
          <cell r="BI33">
            <v>348.62941599999999</v>
          </cell>
          <cell r="BJ33">
            <v>631.62378100000001</v>
          </cell>
          <cell r="BK33">
            <v>144.98358999999999</v>
          </cell>
          <cell r="BL33">
            <v>965.33979699999998</v>
          </cell>
          <cell r="BM33">
            <v>171.82347100000001</v>
          </cell>
          <cell r="BN33">
            <v>149.006629</v>
          </cell>
          <cell r="BO33">
            <v>243.31526600000001</v>
          </cell>
          <cell r="BP33">
            <v>195.63550499999999</v>
          </cell>
          <cell r="BQ33">
            <v>133.06713099999999</v>
          </cell>
          <cell r="BR33">
            <v>68.519642000000005</v>
          </cell>
          <cell r="BS33">
            <v>3.972153</v>
          </cell>
          <cell r="BT33">
            <v>236.37096</v>
          </cell>
          <cell r="BU33">
            <v>574.05486399999995</v>
          </cell>
          <cell r="BV33">
            <v>154.913973</v>
          </cell>
          <cell r="BW33">
            <v>1951.509454</v>
          </cell>
          <cell r="BX33">
            <v>1406.13546</v>
          </cell>
          <cell r="BY33">
            <v>126.26205899999999</v>
          </cell>
          <cell r="BZ33">
            <v>285.04388499999999</v>
          </cell>
          <cell r="CA33">
            <v>40.714300000000001</v>
          </cell>
          <cell r="CB33">
            <v>85.409442999999996</v>
          </cell>
          <cell r="CC33">
            <v>0</v>
          </cell>
          <cell r="CD33">
            <v>7.9443060000000001</v>
          </cell>
          <cell r="CE33">
            <v>268.13426199999998</v>
          </cell>
          <cell r="CF33">
            <v>22.853804</v>
          </cell>
          <cell r="CG33">
            <v>51.637991</v>
          </cell>
          <cell r="CH33">
            <v>293.02412299999997</v>
          </cell>
          <cell r="CI33">
            <v>12.944305999999999</v>
          </cell>
          <cell r="CJ33">
            <v>92.402338</v>
          </cell>
          <cell r="CK33">
            <v>857.08950800000002</v>
          </cell>
          <cell r="CL33">
            <v>71.596221</v>
          </cell>
          <cell r="CM33">
            <v>233.36399800000001</v>
          </cell>
          <cell r="CN33">
            <v>536.24067600000001</v>
          </cell>
          <cell r="CO33">
            <v>18.867726999999999</v>
          </cell>
          <cell r="CP33">
            <v>41.707608</v>
          </cell>
          <cell r="CQ33">
            <v>1668.350938</v>
          </cell>
          <cell r="CR33">
            <v>35.749378</v>
          </cell>
          <cell r="CS33">
            <v>83.415216000000001</v>
          </cell>
          <cell r="CT33">
            <v>87.387369000000007</v>
          </cell>
          <cell r="CU33">
            <v>234.34230700000001</v>
          </cell>
          <cell r="CV33">
            <v>301.88364000000001</v>
          </cell>
          <cell r="CW33">
            <v>293.88041800000002</v>
          </cell>
          <cell r="CX33">
            <v>436.936847</v>
          </cell>
          <cell r="CY33">
            <v>194.75576100000001</v>
          </cell>
          <cell r="CZ33">
            <v>1472</v>
          </cell>
          <cell r="DA33">
            <v>60</v>
          </cell>
          <cell r="DB33">
            <v>36</v>
          </cell>
          <cell r="DC33">
            <v>48</v>
          </cell>
          <cell r="DD33">
            <v>204</v>
          </cell>
          <cell r="DE33">
            <v>276</v>
          </cell>
          <cell r="DF33">
            <v>284</v>
          </cell>
          <cell r="DG33">
            <v>300</v>
          </cell>
          <cell r="DH33">
            <v>264</v>
          </cell>
          <cell r="DI33">
            <v>877.89245900000003</v>
          </cell>
          <cell r="DJ33">
            <v>31.777225000000001</v>
          </cell>
          <cell r="DK33">
            <v>67.526604000000006</v>
          </cell>
          <cell r="DL33">
            <v>75.470910000000003</v>
          </cell>
          <cell r="DM33">
            <v>123.12201899999999</v>
          </cell>
          <cell r="DN33">
            <v>55.610143999999998</v>
          </cell>
          <cell r="DO33">
            <v>234.29812100000001</v>
          </cell>
          <cell r="DP33">
            <v>210.52411699999999</v>
          </cell>
          <cell r="DQ33">
            <v>79.563319000000007</v>
          </cell>
          <cell r="DR33">
            <v>790.45847800000001</v>
          </cell>
          <cell r="DS33">
            <v>3.972153</v>
          </cell>
          <cell r="DT33">
            <v>15.888612999999999</v>
          </cell>
          <cell r="DU33">
            <v>11.916459</v>
          </cell>
          <cell r="DV33">
            <v>111.220288</v>
          </cell>
          <cell r="DW33">
            <v>246.27349599999999</v>
          </cell>
          <cell r="DX33">
            <v>59.582296999999997</v>
          </cell>
          <cell r="DY33">
            <v>226.41273000000001</v>
          </cell>
          <cell r="DZ33">
            <v>115.192442</v>
          </cell>
          <cell r="EA33">
            <v>266.18087300000002</v>
          </cell>
          <cell r="EB33">
            <v>0</v>
          </cell>
          <cell r="EC33">
            <v>7.9443060000000001</v>
          </cell>
          <cell r="ED33">
            <v>0</v>
          </cell>
          <cell r="EE33">
            <v>7.9295770000000001</v>
          </cell>
          <cell r="EF33">
            <v>27.805071999999999</v>
          </cell>
          <cell r="EG33">
            <v>95.272760000000005</v>
          </cell>
          <cell r="EH33">
            <v>0</v>
          </cell>
          <cell r="EI33">
            <v>127.229157</v>
          </cell>
          <cell r="EJ33">
            <v>814.29139699999996</v>
          </cell>
          <cell r="EK33">
            <v>31.777225000000001</v>
          </cell>
          <cell r="EL33">
            <v>71.498756999999998</v>
          </cell>
          <cell r="EM33">
            <v>59.582296999999997</v>
          </cell>
          <cell r="EN33">
            <v>202.57981100000001</v>
          </cell>
          <cell r="EO33">
            <v>222.44057699999999</v>
          </cell>
          <cell r="EP33">
            <v>182.71904499999999</v>
          </cell>
          <cell r="EQ33">
            <v>3.972153</v>
          </cell>
          <cell r="ER33">
            <v>39.721532000000003</v>
          </cell>
          <cell r="ES33">
            <v>587.87866699999995</v>
          </cell>
          <cell r="ET33">
            <v>3.972153</v>
          </cell>
          <cell r="EU33">
            <v>3.972153</v>
          </cell>
          <cell r="EV33">
            <v>27.805071999999999</v>
          </cell>
          <cell r="EW33">
            <v>23.832919</v>
          </cell>
          <cell r="EX33">
            <v>51.637991</v>
          </cell>
          <cell r="EY33">
            <v>15.888612999999999</v>
          </cell>
          <cell r="EZ33">
            <v>432.96469400000001</v>
          </cell>
          <cell r="FA33">
            <v>27.805071999999999</v>
          </cell>
        </row>
        <row r="34">
          <cell r="A34" t="str">
            <v>37261</v>
          </cell>
          <cell r="B34" t="str">
            <v>Tours</v>
          </cell>
          <cell r="C34" t="str">
            <v>Tour(s)plus</v>
          </cell>
          <cell r="D34">
            <v>136942.264585</v>
          </cell>
          <cell r="E34">
            <v>132677</v>
          </cell>
          <cell r="F34">
            <v>129509</v>
          </cell>
          <cell r="G34">
            <v>132209</v>
          </cell>
          <cell r="H34">
            <v>140686</v>
          </cell>
          <cell r="I34">
            <v>128120</v>
          </cell>
          <cell r="J34">
            <v>34.36</v>
          </cell>
          <cell r="K34">
            <v>11571</v>
          </cell>
          <cell r="L34">
            <v>15217</v>
          </cell>
          <cell r="M34">
            <v>14973</v>
          </cell>
          <cell r="N34">
            <v>15171</v>
          </cell>
          <cell r="O34">
            <v>18325</v>
          </cell>
          <cell r="P34">
            <v>7930</v>
          </cell>
          <cell r="Q34">
            <v>10115</v>
          </cell>
          <cell r="R34">
            <v>9270</v>
          </cell>
          <cell r="S34">
            <v>8503</v>
          </cell>
          <cell r="T34">
            <v>8535</v>
          </cell>
          <cell r="U34">
            <v>1480</v>
          </cell>
          <cell r="V34">
            <v>1639</v>
          </cell>
          <cell r="W34">
            <v>1632</v>
          </cell>
          <cell r="X34">
            <v>1637</v>
          </cell>
          <cell r="Y34">
            <v>1673</v>
          </cell>
          <cell r="Z34">
            <v>1688</v>
          </cell>
          <cell r="AA34">
            <v>1651</v>
          </cell>
          <cell r="AB34">
            <v>1691</v>
          </cell>
          <cell r="AC34">
            <v>1599</v>
          </cell>
          <cell r="AD34">
            <v>1630</v>
          </cell>
          <cell r="AE34">
            <v>1097</v>
          </cell>
          <cell r="AF34">
            <v>1052</v>
          </cell>
          <cell r="AG34">
            <v>1094</v>
          </cell>
          <cell r="AH34">
            <v>1030</v>
          </cell>
          <cell r="AI34">
            <v>1325</v>
          </cell>
          <cell r="AJ34">
            <v>1109</v>
          </cell>
          <cell r="AK34">
            <v>1153</v>
          </cell>
          <cell r="AL34">
            <v>1091</v>
          </cell>
          <cell r="AM34">
            <v>1128</v>
          </cell>
          <cell r="AN34">
            <v>1147</v>
          </cell>
          <cell r="AO34">
            <v>19193.765109</v>
          </cell>
          <cell r="AP34">
            <v>41053.783708000003</v>
          </cell>
          <cell r="AQ34">
            <v>24867.534737999998</v>
          </cell>
          <cell r="AR34">
            <v>22846.831284</v>
          </cell>
          <cell r="AS34">
            <v>15753.513738</v>
          </cell>
          <cell r="AT34">
            <v>13226.836008</v>
          </cell>
          <cell r="AU34">
            <v>19018</v>
          </cell>
          <cell r="AV34">
            <v>40984</v>
          </cell>
          <cell r="AW34">
            <v>24922</v>
          </cell>
          <cell r="AX34">
            <v>20343</v>
          </cell>
          <cell r="AY34">
            <v>16096</v>
          </cell>
          <cell r="AZ34">
            <v>11314</v>
          </cell>
          <cell r="BA34">
            <v>62140.586624000003</v>
          </cell>
          <cell r="BB34">
            <v>9864.9896700000008</v>
          </cell>
          <cell r="BC34">
            <v>18930.150269000002</v>
          </cell>
          <cell r="BD34">
            <v>12385.338970999999</v>
          </cell>
          <cell r="BE34">
            <v>10271.954237</v>
          </cell>
          <cell r="BF34">
            <v>6504.204917</v>
          </cell>
          <cell r="BG34">
            <v>3846.9248229999998</v>
          </cell>
          <cell r="BH34">
            <v>337.02373699999998</v>
          </cell>
          <cell r="BI34">
            <v>15184.911980999999</v>
          </cell>
          <cell r="BJ34">
            <v>38613.027795000002</v>
          </cell>
          <cell r="BK34">
            <v>8342.6468480000003</v>
          </cell>
          <cell r="BL34">
            <v>74801.677960999994</v>
          </cell>
          <cell r="BM34">
            <v>9328.7754380000006</v>
          </cell>
          <cell r="BN34">
            <v>22123.633439000001</v>
          </cell>
          <cell r="BO34">
            <v>12482.195766999999</v>
          </cell>
          <cell r="BP34">
            <v>12574.877047</v>
          </cell>
          <cell r="BQ34">
            <v>9249.3088210000005</v>
          </cell>
          <cell r="BR34">
            <v>7963.9374090000001</v>
          </cell>
          <cell r="BS34">
            <v>1078.9500390000001</v>
          </cell>
          <cell r="BT34">
            <v>15880.481758</v>
          </cell>
          <cell r="BU34">
            <v>43635.954991999999</v>
          </cell>
          <cell r="BV34">
            <v>15285.241211</v>
          </cell>
          <cell r="BW34">
            <v>129823.127133</v>
          </cell>
          <cell r="BX34">
            <v>65862.181765999994</v>
          </cell>
          <cell r="BY34">
            <v>23166.457539999999</v>
          </cell>
          <cell r="BZ34">
            <v>11878.954368000001</v>
          </cell>
          <cell r="CA34">
            <v>9402.3008050000008</v>
          </cell>
          <cell r="CB34">
            <v>15740.944767999999</v>
          </cell>
          <cell r="CC34">
            <v>594.23695599999996</v>
          </cell>
          <cell r="CD34">
            <v>3178.0509299999999</v>
          </cell>
          <cell r="CE34">
            <v>12131.297642</v>
          </cell>
          <cell r="CF34">
            <v>2711.2796549999998</v>
          </cell>
          <cell r="CG34">
            <v>3141.5409490000002</v>
          </cell>
          <cell r="CH34">
            <v>29498.701967000001</v>
          </cell>
          <cell r="CI34">
            <v>4827.4624690000001</v>
          </cell>
          <cell r="CJ34">
            <v>17596.698264999999</v>
          </cell>
          <cell r="CK34">
            <v>51749.145172999997</v>
          </cell>
          <cell r="CL34">
            <v>13020.851363</v>
          </cell>
          <cell r="CM34">
            <v>16166.099333</v>
          </cell>
          <cell r="CN34">
            <v>36500.652335999999</v>
          </cell>
          <cell r="CO34">
            <v>2606.8640529999998</v>
          </cell>
          <cell r="CP34">
            <v>3890.1492790000002</v>
          </cell>
          <cell r="CQ34">
            <v>117781.893522</v>
          </cell>
          <cell r="CR34">
            <v>39.470011999999997</v>
          </cell>
          <cell r="CS34">
            <v>2409.2588390000001</v>
          </cell>
          <cell r="CT34">
            <v>10656.44514</v>
          </cell>
          <cell r="CU34">
            <v>16981.149784000001</v>
          </cell>
          <cell r="CV34">
            <v>19822.989208999999</v>
          </cell>
          <cell r="CW34">
            <v>12927.972444000001</v>
          </cell>
          <cell r="CX34">
            <v>27789.732615000001</v>
          </cell>
          <cell r="CY34">
            <v>27154.875478000002</v>
          </cell>
          <cell r="CZ34">
            <v>113565</v>
          </cell>
          <cell r="DA34">
            <v>60</v>
          </cell>
          <cell r="DB34">
            <v>2704</v>
          </cell>
          <cell r="DC34">
            <v>8108</v>
          </cell>
          <cell r="DD34">
            <v>14188</v>
          </cell>
          <cell r="DE34">
            <v>19244</v>
          </cell>
          <cell r="DF34">
            <v>13036</v>
          </cell>
          <cell r="DG34">
            <v>24348</v>
          </cell>
          <cell r="DH34">
            <v>31877</v>
          </cell>
          <cell r="DI34">
            <v>52336.373744999997</v>
          </cell>
          <cell r="DJ34">
            <v>27.768910999999999</v>
          </cell>
          <cell r="DK34">
            <v>1675.051637</v>
          </cell>
          <cell r="DL34">
            <v>6365.3321150000002</v>
          </cell>
          <cell r="DM34">
            <v>8019.1646069999997</v>
          </cell>
          <cell r="DN34">
            <v>5258.4231900000004</v>
          </cell>
          <cell r="DO34">
            <v>10340.391916</v>
          </cell>
          <cell r="DP34">
            <v>10667.13119</v>
          </cell>
          <cell r="DQ34">
            <v>9983.1101770000005</v>
          </cell>
          <cell r="DR34">
            <v>65445.519777000001</v>
          </cell>
          <cell r="DS34">
            <v>11.701101</v>
          </cell>
          <cell r="DT34">
            <v>734.20720100000005</v>
          </cell>
          <cell r="DU34">
            <v>4291.1130249999997</v>
          </cell>
          <cell r="DV34">
            <v>8961.9851770000005</v>
          </cell>
          <cell r="DW34">
            <v>14564.566019</v>
          </cell>
          <cell r="DX34">
            <v>2587.580528</v>
          </cell>
          <cell r="DY34">
            <v>17122.601425000001</v>
          </cell>
          <cell r="DZ34">
            <v>17171.765300999999</v>
          </cell>
          <cell r="EA34">
            <v>29554.523561000002</v>
          </cell>
          <cell r="EB34">
            <v>0</v>
          </cell>
          <cell r="EC34">
            <v>99.184192999999993</v>
          </cell>
          <cell r="ED34">
            <v>728.29338399999995</v>
          </cell>
          <cell r="EE34">
            <v>2512.8661499999998</v>
          </cell>
          <cell r="EF34">
            <v>4337.0932220000004</v>
          </cell>
          <cell r="EG34">
            <v>2743.4859110000002</v>
          </cell>
          <cell r="EH34">
            <v>0</v>
          </cell>
          <cell r="EI34">
            <v>19133.600700999999</v>
          </cell>
          <cell r="EJ34">
            <v>51725.818060999998</v>
          </cell>
          <cell r="EK34">
            <v>24.956230000000001</v>
          </cell>
          <cell r="EL34">
            <v>1775.8537329999999</v>
          </cell>
          <cell r="EM34">
            <v>8388.3746780000001</v>
          </cell>
          <cell r="EN34">
            <v>13049.055496999999</v>
          </cell>
          <cell r="EO34">
            <v>13822.686387</v>
          </cell>
          <cell r="EP34">
            <v>9146.6048420000006</v>
          </cell>
          <cell r="EQ34">
            <v>259.48053199999998</v>
          </cell>
          <cell r="ER34">
            <v>5258.8061610000004</v>
          </cell>
          <cell r="ES34">
            <v>36501.551899999999</v>
          </cell>
          <cell r="ET34">
            <v>14.513782000000001</v>
          </cell>
          <cell r="EU34">
            <v>534.220912</v>
          </cell>
          <cell r="EV34">
            <v>1539.7770780000001</v>
          </cell>
          <cell r="EW34">
            <v>1419.2281370000001</v>
          </cell>
          <cell r="EX34">
            <v>1663.2095999999999</v>
          </cell>
          <cell r="EY34">
            <v>1037.881691</v>
          </cell>
          <cell r="EZ34">
            <v>27530.252082999999</v>
          </cell>
          <cell r="FA34">
            <v>2762.4686160000001</v>
          </cell>
        </row>
        <row r="35">
          <cell r="A35" t="str">
            <v>37263</v>
          </cell>
          <cell r="B35" t="str">
            <v>Truyes</v>
          </cell>
          <cell r="C35" t="str">
            <v>CC du Val de l'Indre</v>
          </cell>
          <cell r="D35">
            <v>2018</v>
          </cell>
          <cell r="E35">
            <v>1728</v>
          </cell>
          <cell r="F35">
            <v>1588</v>
          </cell>
          <cell r="G35">
            <v>1254</v>
          </cell>
          <cell r="H35">
            <v>1002</v>
          </cell>
          <cell r="I35">
            <v>781</v>
          </cell>
          <cell r="J35">
            <v>16.39</v>
          </cell>
          <cell r="K35">
            <v>168</v>
          </cell>
          <cell r="L35">
            <v>139</v>
          </cell>
          <cell r="M35">
            <v>107</v>
          </cell>
          <cell r="N35">
            <v>106</v>
          </cell>
          <cell r="O35">
            <v>84</v>
          </cell>
          <cell r="P35">
            <v>90</v>
          </cell>
          <cell r="Q35">
            <v>111</v>
          </cell>
          <cell r="R35">
            <v>88</v>
          </cell>
          <cell r="S35">
            <v>77</v>
          </cell>
          <cell r="T35">
            <v>65</v>
          </cell>
          <cell r="U35">
            <v>15</v>
          </cell>
          <cell r="V35">
            <v>23</v>
          </cell>
          <cell r="W35">
            <v>17</v>
          </cell>
          <cell r="X35">
            <v>20</v>
          </cell>
          <cell r="Y35">
            <v>18</v>
          </cell>
          <cell r="Z35">
            <v>31</v>
          </cell>
          <cell r="AA35">
            <v>30</v>
          </cell>
          <cell r="AB35">
            <v>26</v>
          </cell>
          <cell r="AC35">
            <v>26</v>
          </cell>
          <cell r="AD35">
            <v>16</v>
          </cell>
          <cell r="AE35">
            <v>9</v>
          </cell>
          <cell r="AF35">
            <v>2</v>
          </cell>
          <cell r="AG35">
            <v>13</v>
          </cell>
          <cell r="AH35">
            <v>10</v>
          </cell>
          <cell r="AI35">
            <v>16</v>
          </cell>
          <cell r="AJ35">
            <v>15</v>
          </cell>
          <cell r="AK35">
            <v>13</v>
          </cell>
          <cell r="AL35">
            <v>13</v>
          </cell>
          <cell r="AM35">
            <v>10</v>
          </cell>
          <cell r="AN35">
            <v>14</v>
          </cell>
          <cell r="AO35">
            <v>432</v>
          </cell>
          <cell r="AP35">
            <v>272</v>
          </cell>
          <cell r="AQ35">
            <v>490</v>
          </cell>
          <cell r="AR35">
            <v>446</v>
          </cell>
          <cell r="AS35">
            <v>247</v>
          </cell>
          <cell r="AT35">
            <v>131</v>
          </cell>
          <cell r="AU35">
            <v>331</v>
          </cell>
          <cell r="AV35">
            <v>324</v>
          </cell>
          <cell r="AW35">
            <v>370</v>
          </cell>
          <cell r="AX35">
            <v>369</v>
          </cell>
          <cell r="AY35">
            <v>233</v>
          </cell>
          <cell r="AZ35">
            <v>101</v>
          </cell>
          <cell r="BA35">
            <v>1006</v>
          </cell>
          <cell r="BB35">
            <v>220</v>
          </cell>
          <cell r="BC35">
            <v>138</v>
          </cell>
          <cell r="BD35">
            <v>248</v>
          </cell>
          <cell r="BE35">
            <v>226</v>
          </cell>
          <cell r="BF35">
            <v>119</v>
          </cell>
          <cell r="BG35">
            <v>54</v>
          </cell>
          <cell r="BH35">
            <v>1</v>
          </cell>
          <cell r="BI35">
            <v>286</v>
          </cell>
          <cell r="BJ35">
            <v>589</v>
          </cell>
          <cell r="BK35">
            <v>131</v>
          </cell>
          <cell r="BL35">
            <v>1012</v>
          </cell>
          <cell r="BM35">
            <v>212</v>
          </cell>
          <cell r="BN35">
            <v>134</v>
          </cell>
          <cell r="BO35">
            <v>242</v>
          </cell>
          <cell r="BP35">
            <v>220</v>
          </cell>
          <cell r="BQ35">
            <v>128</v>
          </cell>
          <cell r="BR35">
            <v>64</v>
          </cell>
          <cell r="BS35">
            <v>12</v>
          </cell>
          <cell r="BT35">
            <v>271</v>
          </cell>
          <cell r="BU35">
            <v>593</v>
          </cell>
          <cell r="BV35">
            <v>148</v>
          </cell>
          <cell r="BW35">
            <v>1881</v>
          </cell>
          <cell r="BX35">
            <v>1355</v>
          </cell>
          <cell r="BY35">
            <v>78</v>
          </cell>
          <cell r="BZ35">
            <v>343</v>
          </cell>
          <cell r="CA35">
            <v>23</v>
          </cell>
          <cell r="CB35">
            <v>78</v>
          </cell>
          <cell r="CC35">
            <v>0</v>
          </cell>
          <cell r="CD35">
            <v>4</v>
          </cell>
          <cell r="CE35">
            <v>296</v>
          </cell>
          <cell r="CF35">
            <v>12</v>
          </cell>
          <cell r="CG35">
            <v>83</v>
          </cell>
          <cell r="CH35">
            <v>191</v>
          </cell>
          <cell r="CI35">
            <v>9</v>
          </cell>
          <cell r="CJ35">
            <v>47</v>
          </cell>
          <cell r="CK35">
            <v>888</v>
          </cell>
          <cell r="CL35">
            <v>44</v>
          </cell>
          <cell r="CM35">
            <v>267</v>
          </cell>
          <cell r="CN35">
            <v>507</v>
          </cell>
          <cell r="CO35">
            <v>13</v>
          </cell>
          <cell r="CP35">
            <v>51</v>
          </cell>
          <cell r="CQ35">
            <v>1588</v>
          </cell>
          <cell r="CR35">
            <v>16</v>
          </cell>
          <cell r="CS35">
            <v>84</v>
          </cell>
          <cell r="CT35">
            <v>96</v>
          </cell>
          <cell r="CU35">
            <v>256</v>
          </cell>
          <cell r="CV35">
            <v>328</v>
          </cell>
          <cell r="CW35">
            <v>224</v>
          </cell>
          <cell r="CX35">
            <v>368</v>
          </cell>
          <cell r="CY35">
            <v>216</v>
          </cell>
          <cell r="CZ35">
            <v>1393</v>
          </cell>
          <cell r="DA35">
            <v>16</v>
          </cell>
          <cell r="DB35">
            <v>56</v>
          </cell>
          <cell r="DC35">
            <v>70</v>
          </cell>
          <cell r="DD35">
            <v>183</v>
          </cell>
          <cell r="DE35">
            <v>254</v>
          </cell>
          <cell r="DF35">
            <v>232</v>
          </cell>
          <cell r="DG35">
            <v>308</v>
          </cell>
          <cell r="DH35">
            <v>274</v>
          </cell>
          <cell r="DI35">
            <v>792</v>
          </cell>
          <cell r="DJ35">
            <v>12</v>
          </cell>
          <cell r="DK35">
            <v>48</v>
          </cell>
          <cell r="DL35">
            <v>84</v>
          </cell>
          <cell r="DM35">
            <v>148</v>
          </cell>
          <cell r="DN35">
            <v>64</v>
          </cell>
          <cell r="DO35">
            <v>180</v>
          </cell>
          <cell r="DP35">
            <v>176</v>
          </cell>
          <cell r="DQ35">
            <v>80</v>
          </cell>
          <cell r="DR35">
            <v>796</v>
          </cell>
          <cell r="DS35">
            <v>4</v>
          </cell>
          <cell r="DT35">
            <v>36</v>
          </cell>
          <cell r="DU35">
            <v>12</v>
          </cell>
          <cell r="DV35">
            <v>108</v>
          </cell>
          <cell r="DW35">
            <v>264</v>
          </cell>
          <cell r="DX35">
            <v>44</v>
          </cell>
          <cell r="DY35">
            <v>192</v>
          </cell>
          <cell r="DZ35">
            <v>136</v>
          </cell>
          <cell r="EA35">
            <v>192</v>
          </cell>
          <cell r="EB35">
            <v>0</v>
          </cell>
          <cell r="EC35">
            <v>8</v>
          </cell>
          <cell r="ED35">
            <v>0</v>
          </cell>
          <cell r="EE35">
            <v>28</v>
          </cell>
          <cell r="EF35">
            <v>16</v>
          </cell>
          <cell r="EG35">
            <v>32</v>
          </cell>
          <cell r="EH35">
            <v>0</v>
          </cell>
          <cell r="EI35">
            <v>108</v>
          </cell>
          <cell r="EJ35">
            <v>872</v>
          </cell>
          <cell r="EK35">
            <v>12</v>
          </cell>
          <cell r="EL35">
            <v>56</v>
          </cell>
          <cell r="EM35">
            <v>72</v>
          </cell>
          <cell r="EN35">
            <v>216</v>
          </cell>
          <cell r="EO35">
            <v>268</v>
          </cell>
          <cell r="EP35">
            <v>176</v>
          </cell>
          <cell r="EQ35">
            <v>8</v>
          </cell>
          <cell r="ER35">
            <v>64</v>
          </cell>
          <cell r="ES35">
            <v>524</v>
          </cell>
          <cell r="ET35">
            <v>4</v>
          </cell>
          <cell r="EU35">
            <v>20</v>
          </cell>
          <cell r="EV35">
            <v>24</v>
          </cell>
          <cell r="EW35">
            <v>12</v>
          </cell>
          <cell r="EX35">
            <v>44</v>
          </cell>
          <cell r="EY35">
            <v>16</v>
          </cell>
          <cell r="EZ35">
            <v>360</v>
          </cell>
          <cell r="FA35">
            <v>44</v>
          </cell>
        </row>
        <row r="36">
          <cell r="A36" t="str">
            <v>37266</v>
          </cell>
          <cell r="B36" t="str">
            <v>Veigné</v>
          </cell>
          <cell r="C36" t="str">
            <v>CC du Val de l'Indre</v>
          </cell>
          <cell r="D36">
            <v>5886.7777779999997</v>
          </cell>
          <cell r="E36">
            <v>5473</v>
          </cell>
          <cell r="F36">
            <v>4520</v>
          </cell>
          <cell r="G36">
            <v>4199</v>
          </cell>
          <cell r="H36">
            <v>3616</v>
          </cell>
          <cell r="I36">
            <v>2420</v>
          </cell>
          <cell r="J36">
            <v>26.58</v>
          </cell>
          <cell r="K36">
            <v>426</v>
          </cell>
          <cell r="L36">
            <v>439</v>
          </cell>
          <cell r="M36">
            <v>371</v>
          </cell>
          <cell r="N36">
            <v>315</v>
          </cell>
          <cell r="O36">
            <v>334</v>
          </cell>
          <cell r="P36">
            <v>248</v>
          </cell>
          <cell r="Q36">
            <v>239</v>
          </cell>
          <cell r="R36">
            <v>236</v>
          </cell>
          <cell r="S36">
            <v>181</v>
          </cell>
          <cell r="T36">
            <v>180</v>
          </cell>
          <cell r="U36">
            <v>54</v>
          </cell>
          <cell r="V36">
            <v>54</v>
          </cell>
          <cell r="W36">
            <v>56</v>
          </cell>
          <cell r="X36">
            <v>56</v>
          </cell>
          <cell r="Y36">
            <v>64</v>
          </cell>
          <cell r="Z36">
            <v>52</v>
          </cell>
          <cell r="AA36">
            <v>64</v>
          </cell>
          <cell r="AB36">
            <v>62</v>
          </cell>
          <cell r="AC36">
            <v>72</v>
          </cell>
          <cell r="AD36">
            <v>70</v>
          </cell>
          <cell r="AE36">
            <v>36</v>
          </cell>
          <cell r="AF36">
            <v>38</v>
          </cell>
          <cell r="AG36">
            <v>35</v>
          </cell>
          <cell r="AH36">
            <v>42</v>
          </cell>
          <cell r="AI36">
            <v>47</v>
          </cell>
          <cell r="AJ36">
            <v>37</v>
          </cell>
          <cell r="AK36">
            <v>29</v>
          </cell>
          <cell r="AL36">
            <v>35</v>
          </cell>
          <cell r="AM36">
            <v>23</v>
          </cell>
          <cell r="AN36">
            <v>27</v>
          </cell>
          <cell r="AO36">
            <v>1170.122877</v>
          </cell>
          <cell r="AP36">
            <v>874.11103400000002</v>
          </cell>
          <cell r="AQ36">
            <v>1204.7422300000001</v>
          </cell>
          <cell r="AR36">
            <v>1282.541729</v>
          </cell>
          <cell r="AS36">
            <v>893.05615299999999</v>
          </cell>
          <cell r="AT36">
            <v>462.203755</v>
          </cell>
          <cell r="AU36">
            <v>1173</v>
          </cell>
          <cell r="AV36">
            <v>847</v>
          </cell>
          <cell r="AW36">
            <v>1261</v>
          </cell>
          <cell r="AX36">
            <v>1127</v>
          </cell>
          <cell r="AY36">
            <v>793</v>
          </cell>
          <cell r="AZ36">
            <v>272</v>
          </cell>
          <cell r="BA36">
            <v>2925.9562209999999</v>
          </cell>
          <cell r="BB36">
            <v>604.80693199999996</v>
          </cell>
          <cell r="BC36">
            <v>464.11172699999997</v>
          </cell>
          <cell r="BD36">
            <v>589.55673000000002</v>
          </cell>
          <cell r="BE36">
            <v>639.55230100000006</v>
          </cell>
          <cell r="BF36">
            <v>426.336568</v>
          </cell>
          <cell r="BG36">
            <v>190.03847500000001</v>
          </cell>
          <cell r="BH36">
            <v>11.553485999999999</v>
          </cell>
          <cell r="BI36">
            <v>815.833122</v>
          </cell>
          <cell r="BJ36">
            <v>1657.448989</v>
          </cell>
          <cell r="BK36">
            <v>452.67410999999998</v>
          </cell>
          <cell r="BL36">
            <v>2960.8215570000002</v>
          </cell>
          <cell r="BM36">
            <v>565.31594500000006</v>
          </cell>
          <cell r="BN36">
            <v>409.99930699999999</v>
          </cell>
          <cell r="BO36">
            <v>615.18550000000005</v>
          </cell>
          <cell r="BP36">
            <v>642.98942799999998</v>
          </cell>
          <cell r="BQ36">
            <v>466.719584</v>
          </cell>
          <cell r="BR36">
            <v>225.46355600000001</v>
          </cell>
          <cell r="BS36">
            <v>35.148237999999999</v>
          </cell>
          <cell r="BT36">
            <v>764.24644699999999</v>
          </cell>
          <cell r="BU36">
            <v>1652.3747539999999</v>
          </cell>
          <cell r="BV36">
            <v>544.20035600000006</v>
          </cell>
          <cell r="BW36">
            <v>5533.9912960000001</v>
          </cell>
          <cell r="BX36">
            <v>3948.2746200000001</v>
          </cell>
          <cell r="BY36">
            <v>335.995879</v>
          </cell>
          <cell r="BZ36">
            <v>773.43547100000001</v>
          </cell>
          <cell r="CA36">
            <v>82.116619</v>
          </cell>
          <cell r="CB36">
            <v>368.86360500000001</v>
          </cell>
          <cell r="CC36">
            <v>5.8339879999999997</v>
          </cell>
          <cell r="CD36">
            <v>19.471115000000001</v>
          </cell>
          <cell r="CE36">
            <v>818.32097099999999</v>
          </cell>
          <cell r="CF36">
            <v>61.182496</v>
          </cell>
          <cell r="CG36">
            <v>226.45233999999999</v>
          </cell>
          <cell r="CH36">
            <v>671.50654699999996</v>
          </cell>
          <cell r="CI36">
            <v>66.300923999999995</v>
          </cell>
          <cell r="CJ36">
            <v>138.26695599999999</v>
          </cell>
          <cell r="CK36">
            <v>2287.1662620000002</v>
          </cell>
          <cell r="CL36">
            <v>175.89807400000001</v>
          </cell>
          <cell r="CM36">
            <v>747.16094699999996</v>
          </cell>
          <cell r="CN36">
            <v>1757.9820910000001</v>
          </cell>
          <cell r="CO36">
            <v>32.614384999999999</v>
          </cell>
          <cell r="CP36">
            <v>137.84055499999999</v>
          </cell>
          <cell r="CQ36">
            <v>4762.8219719999997</v>
          </cell>
          <cell r="CR36">
            <v>19.691507999999999</v>
          </cell>
          <cell r="CS36">
            <v>272.43352599999997</v>
          </cell>
          <cell r="CT36">
            <v>393.83015599999999</v>
          </cell>
          <cell r="CU36">
            <v>762.26736000000005</v>
          </cell>
          <cell r="CV36">
            <v>793.77377200000001</v>
          </cell>
          <cell r="CW36">
            <v>555.77423499999998</v>
          </cell>
          <cell r="CX36">
            <v>1295.1082610000001</v>
          </cell>
          <cell r="CY36">
            <v>669.94315400000005</v>
          </cell>
          <cell r="CZ36">
            <v>4130</v>
          </cell>
          <cell r="DA36">
            <v>13</v>
          </cell>
          <cell r="DB36">
            <v>189</v>
          </cell>
          <cell r="DC36">
            <v>270</v>
          </cell>
          <cell r="DD36">
            <v>597</v>
          </cell>
          <cell r="DE36">
            <v>751</v>
          </cell>
          <cell r="DF36">
            <v>592</v>
          </cell>
          <cell r="DG36">
            <v>945</v>
          </cell>
          <cell r="DH36">
            <v>773</v>
          </cell>
          <cell r="DI36">
            <v>2326.534893</v>
          </cell>
          <cell r="DJ36">
            <v>11.814905</v>
          </cell>
          <cell r="DK36">
            <v>185.79089200000001</v>
          </cell>
          <cell r="DL36">
            <v>283.55771199999998</v>
          </cell>
          <cell r="DM36">
            <v>369.02491800000001</v>
          </cell>
          <cell r="DN36">
            <v>136.37126900000001</v>
          </cell>
          <cell r="DO36">
            <v>469.42545699999999</v>
          </cell>
          <cell r="DP36">
            <v>653.758059</v>
          </cell>
          <cell r="DQ36">
            <v>216.79168100000001</v>
          </cell>
          <cell r="DR36">
            <v>2436.2870790000002</v>
          </cell>
          <cell r="DS36">
            <v>7.8766030000000002</v>
          </cell>
          <cell r="DT36">
            <v>86.642634000000001</v>
          </cell>
          <cell r="DU36">
            <v>110.27244399999999</v>
          </cell>
          <cell r="DV36">
            <v>393.24244199999998</v>
          </cell>
          <cell r="DW36">
            <v>657.40250300000002</v>
          </cell>
          <cell r="DX36">
            <v>86.348776999999998</v>
          </cell>
          <cell r="DY36">
            <v>641.35020199999997</v>
          </cell>
          <cell r="DZ36">
            <v>453.15147300000001</v>
          </cell>
          <cell r="EA36">
            <v>721.244598</v>
          </cell>
          <cell r="EB36">
            <v>0</v>
          </cell>
          <cell r="EC36">
            <v>3.9383020000000002</v>
          </cell>
          <cell r="ED36">
            <v>0</v>
          </cell>
          <cell r="EE36">
            <v>43.321317000000001</v>
          </cell>
          <cell r="EF36">
            <v>89.405507</v>
          </cell>
          <cell r="EG36">
            <v>163.05780899999999</v>
          </cell>
          <cell r="EH36">
            <v>0</v>
          </cell>
          <cell r="EI36">
            <v>421.52166399999999</v>
          </cell>
          <cell r="EJ36">
            <v>2273.8112270000001</v>
          </cell>
          <cell r="EK36">
            <v>15.753206</v>
          </cell>
          <cell r="EL36">
            <v>233.05051</v>
          </cell>
          <cell r="EM36">
            <v>338.69393400000001</v>
          </cell>
          <cell r="EN36">
            <v>628.36510699999997</v>
          </cell>
          <cell r="EO36">
            <v>574.404313</v>
          </cell>
          <cell r="EP36">
            <v>353.33341000000001</v>
          </cell>
          <cell r="EQ36">
            <v>7.8766030000000002</v>
          </cell>
          <cell r="ER36">
            <v>122.334142</v>
          </cell>
          <cell r="ES36">
            <v>1767.766147</v>
          </cell>
          <cell r="ET36">
            <v>3.9383020000000002</v>
          </cell>
          <cell r="EU36">
            <v>35.444713999999998</v>
          </cell>
          <cell r="EV36">
            <v>55.136221999999997</v>
          </cell>
          <cell r="EW36">
            <v>90.580935999999994</v>
          </cell>
          <cell r="EX36">
            <v>129.96395100000001</v>
          </cell>
          <cell r="EY36">
            <v>39.383015999999998</v>
          </cell>
          <cell r="EZ36">
            <v>1287.2316579999999</v>
          </cell>
          <cell r="FA36">
            <v>126.08734800000001</v>
          </cell>
        </row>
        <row r="37">
          <cell r="A37" t="str">
            <v>37267</v>
          </cell>
          <cell r="B37" t="str">
            <v>Véretz</v>
          </cell>
          <cell r="C37" t="str">
            <v>CC de l'Est Tourangeau</v>
          </cell>
          <cell r="D37">
            <v>3828.666667</v>
          </cell>
          <cell r="E37">
            <v>3022</v>
          </cell>
          <cell r="F37">
            <v>2709</v>
          </cell>
          <cell r="G37">
            <v>2313</v>
          </cell>
          <cell r="H37">
            <v>1315</v>
          </cell>
          <cell r="I37">
            <v>1009</v>
          </cell>
          <cell r="J37">
            <v>13.86</v>
          </cell>
          <cell r="K37">
            <v>414</v>
          </cell>
          <cell r="L37">
            <v>245</v>
          </cell>
          <cell r="M37">
            <v>260</v>
          </cell>
          <cell r="N37">
            <v>157</v>
          </cell>
          <cell r="O37">
            <v>105</v>
          </cell>
          <cell r="P37">
            <v>174</v>
          </cell>
          <cell r="Q37">
            <v>258</v>
          </cell>
          <cell r="R37">
            <v>135</v>
          </cell>
          <cell r="S37">
            <v>115</v>
          </cell>
          <cell r="T37">
            <v>83</v>
          </cell>
          <cell r="U37">
            <v>64</v>
          </cell>
          <cell r="V37">
            <v>71</v>
          </cell>
          <cell r="W37">
            <v>77</v>
          </cell>
          <cell r="X37">
            <v>79</v>
          </cell>
          <cell r="Y37">
            <v>52</v>
          </cell>
          <cell r="Z37">
            <v>60</v>
          </cell>
          <cell r="AA37">
            <v>54</v>
          </cell>
          <cell r="AB37">
            <v>51</v>
          </cell>
          <cell r="AC37">
            <v>41</v>
          </cell>
          <cell r="AD37">
            <v>36</v>
          </cell>
          <cell r="AE37">
            <v>29</v>
          </cell>
          <cell r="AF37">
            <v>22</v>
          </cell>
          <cell r="AG37">
            <v>18</v>
          </cell>
          <cell r="AH37">
            <v>22</v>
          </cell>
          <cell r="AI37">
            <v>30</v>
          </cell>
          <cell r="AJ37">
            <v>28</v>
          </cell>
          <cell r="AK37">
            <v>23</v>
          </cell>
          <cell r="AL37">
            <v>28</v>
          </cell>
          <cell r="AM37">
            <v>25</v>
          </cell>
          <cell r="AN37">
            <v>34</v>
          </cell>
          <cell r="AO37">
            <v>983.315068</v>
          </cell>
          <cell r="AP37">
            <v>489.54122000000001</v>
          </cell>
          <cell r="AQ37">
            <v>1083.999004</v>
          </cell>
          <cell r="AR37">
            <v>699.14171899999997</v>
          </cell>
          <cell r="AS37">
            <v>408.72726899999998</v>
          </cell>
          <cell r="AT37">
            <v>163.942387</v>
          </cell>
          <cell r="AU37">
            <v>648</v>
          </cell>
          <cell r="AV37">
            <v>552</v>
          </cell>
          <cell r="AW37">
            <v>717</v>
          </cell>
          <cell r="AX37">
            <v>687</v>
          </cell>
          <cell r="AY37">
            <v>263</v>
          </cell>
          <cell r="AZ37">
            <v>155</v>
          </cell>
          <cell r="BA37">
            <v>1895.6761980000001</v>
          </cell>
          <cell r="BB37">
            <v>524.12104599999998</v>
          </cell>
          <cell r="BC37">
            <v>226.892154</v>
          </cell>
          <cell r="BD37">
            <v>527.88493200000005</v>
          </cell>
          <cell r="BE37">
            <v>360.39202999999998</v>
          </cell>
          <cell r="BF37">
            <v>199.485928</v>
          </cell>
          <cell r="BG37">
            <v>53.904344000000002</v>
          </cell>
          <cell r="BH37">
            <v>2.9957639999999999</v>
          </cell>
          <cell r="BI37">
            <v>626.74595299999999</v>
          </cell>
          <cell r="BJ37">
            <v>1100.9955170000001</v>
          </cell>
          <cell r="BK37">
            <v>167.934729</v>
          </cell>
          <cell r="BL37">
            <v>1932.9904690000001</v>
          </cell>
          <cell r="BM37">
            <v>459.19402200000002</v>
          </cell>
          <cell r="BN37">
            <v>262.649066</v>
          </cell>
          <cell r="BO37">
            <v>556.11407199999996</v>
          </cell>
          <cell r="BP37">
            <v>338.74968899999999</v>
          </cell>
          <cell r="BQ37">
            <v>209.24134100000001</v>
          </cell>
          <cell r="BR37">
            <v>81.866219000000001</v>
          </cell>
          <cell r="BS37">
            <v>25.176058999999999</v>
          </cell>
          <cell r="BT37">
            <v>560.87795800000004</v>
          </cell>
          <cell r="BU37">
            <v>1174.3912829999999</v>
          </cell>
          <cell r="BV37">
            <v>197.721228</v>
          </cell>
          <cell r="BW37">
            <v>3484.27115</v>
          </cell>
          <cell r="BX37">
            <v>2216.6612519999999</v>
          </cell>
          <cell r="BY37">
            <v>165.188537</v>
          </cell>
          <cell r="BZ37">
            <v>773.69011499999999</v>
          </cell>
          <cell r="CA37">
            <v>44.575589999999998</v>
          </cell>
          <cell r="CB37">
            <v>264.336229</v>
          </cell>
          <cell r="CC37">
            <v>0</v>
          </cell>
          <cell r="CD37">
            <v>19.819427000000001</v>
          </cell>
          <cell r="CE37">
            <v>642.68343700000003</v>
          </cell>
          <cell r="CF37">
            <v>48.930511000000003</v>
          </cell>
          <cell r="CG37">
            <v>205.131756</v>
          </cell>
          <cell r="CH37">
            <v>314.52054800000002</v>
          </cell>
          <cell r="CI37">
            <v>13.173598999999999</v>
          </cell>
          <cell r="CJ37">
            <v>84.923536999999996</v>
          </cell>
          <cell r="CK37">
            <v>1700.335243</v>
          </cell>
          <cell r="CL37">
            <v>79.041594000000003</v>
          </cell>
          <cell r="CM37">
            <v>694.43686200000002</v>
          </cell>
          <cell r="CN37">
            <v>830.49580700000001</v>
          </cell>
          <cell r="CO37">
            <v>24.042833000000002</v>
          </cell>
          <cell r="CP37">
            <v>117.92920700000001</v>
          </cell>
          <cell r="CQ37">
            <v>2857.1027749999998</v>
          </cell>
          <cell r="CR37">
            <v>0</v>
          </cell>
          <cell r="CS37">
            <v>120.444334</v>
          </cell>
          <cell r="CT37">
            <v>327.458032</v>
          </cell>
          <cell r="CU37">
            <v>632.33275200000003</v>
          </cell>
          <cell r="CV37">
            <v>519.41618900000003</v>
          </cell>
          <cell r="CW37">
            <v>372.62465800000001</v>
          </cell>
          <cell r="CX37">
            <v>572.42431899999997</v>
          </cell>
          <cell r="CY37">
            <v>312.402491</v>
          </cell>
          <cell r="CZ37">
            <v>2388</v>
          </cell>
          <cell r="DA37">
            <v>8</v>
          </cell>
          <cell r="DB37">
            <v>132</v>
          </cell>
          <cell r="DC37">
            <v>164</v>
          </cell>
          <cell r="DD37">
            <v>392</v>
          </cell>
          <cell r="DE37">
            <v>436</v>
          </cell>
          <cell r="DF37">
            <v>388</v>
          </cell>
          <cell r="DG37">
            <v>376</v>
          </cell>
          <cell r="DH37">
            <v>492</v>
          </cell>
          <cell r="DI37">
            <v>1421.059004</v>
          </cell>
          <cell r="DJ37">
            <v>0</v>
          </cell>
          <cell r="DK37">
            <v>94.097136000000006</v>
          </cell>
          <cell r="DL37">
            <v>222.06924000000001</v>
          </cell>
          <cell r="DM37">
            <v>316.16637600000001</v>
          </cell>
          <cell r="DN37">
            <v>75.277709000000002</v>
          </cell>
          <cell r="DO37">
            <v>323.69414699999999</v>
          </cell>
          <cell r="DP37">
            <v>280.601719</v>
          </cell>
          <cell r="DQ37">
            <v>109.152677</v>
          </cell>
          <cell r="DR37">
            <v>1436.0437710000001</v>
          </cell>
          <cell r="DS37">
            <v>0</v>
          </cell>
          <cell r="DT37">
            <v>26.347197999999999</v>
          </cell>
          <cell r="DU37">
            <v>105.388792</v>
          </cell>
          <cell r="DV37">
            <v>316.16637600000001</v>
          </cell>
          <cell r="DW37">
            <v>444.13848100000001</v>
          </cell>
          <cell r="DX37">
            <v>48.930511000000003</v>
          </cell>
          <cell r="DY37">
            <v>291.82260000000002</v>
          </cell>
          <cell r="DZ37">
            <v>203.24981299999999</v>
          </cell>
          <cell r="EA37">
            <v>316.16637600000001</v>
          </cell>
          <cell r="EB37">
            <v>0</v>
          </cell>
          <cell r="EC37">
            <v>7.5277710000000004</v>
          </cell>
          <cell r="ED37">
            <v>3.7638850000000001</v>
          </cell>
          <cell r="EE37">
            <v>11.291656</v>
          </cell>
          <cell r="EF37">
            <v>30.111083000000001</v>
          </cell>
          <cell r="EG37">
            <v>56.458280999999999</v>
          </cell>
          <cell r="EH37">
            <v>0</v>
          </cell>
          <cell r="EI37">
            <v>207.013699</v>
          </cell>
          <cell r="EJ37">
            <v>1769.0261519999999</v>
          </cell>
          <cell r="EK37">
            <v>0</v>
          </cell>
          <cell r="EL37">
            <v>86.569365000000005</v>
          </cell>
          <cell r="EM37">
            <v>278.52752199999998</v>
          </cell>
          <cell r="EN37">
            <v>587.16612699999996</v>
          </cell>
          <cell r="EO37">
            <v>451.66625199999999</v>
          </cell>
          <cell r="EP37">
            <v>286.05529300000001</v>
          </cell>
          <cell r="EQ37">
            <v>11.291656</v>
          </cell>
          <cell r="ER37">
            <v>67.749938</v>
          </cell>
          <cell r="ES37">
            <v>771.91024700000003</v>
          </cell>
          <cell r="ET37">
            <v>0</v>
          </cell>
          <cell r="EU37">
            <v>26.347197999999999</v>
          </cell>
          <cell r="EV37">
            <v>45.166625000000003</v>
          </cell>
          <cell r="EW37">
            <v>33.874969</v>
          </cell>
          <cell r="EX37">
            <v>37.638854000000002</v>
          </cell>
          <cell r="EY37">
            <v>30.111083000000001</v>
          </cell>
          <cell r="EZ37">
            <v>561.13266299999998</v>
          </cell>
          <cell r="FA37">
            <v>37.638854000000002</v>
          </cell>
        </row>
        <row r="38">
          <cell r="A38" t="str">
            <v>37270</v>
          </cell>
          <cell r="B38" t="str">
            <v>Vernou-sur-Brenne</v>
          </cell>
          <cell r="C38" t="str">
            <v>Vouvrillon</v>
          </cell>
          <cell r="D38">
            <v>2711</v>
          </cell>
          <cell r="E38">
            <v>2451</v>
          </cell>
          <cell r="F38">
            <v>2197</v>
          </cell>
          <cell r="G38">
            <v>2050</v>
          </cell>
          <cell r="H38">
            <v>1992</v>
          </cell>
          <cell r="I38">
            <v>2000</v>
          </cell>
          <cell r="J38">
            <v>25.91</v>
          </cell>
          <cell r="K38">
            <v>219</v>
          </cell>
          <cell r="L38">
            <v>209</v>
          </cell>
          <cell r="M38">
            <v>165</v>
          </cell>
          <cell r="N38">
            <v>139</v>
          </cell>
          <cell r="O38">
            <v>217</v>
          </cell>
          <cell r="P38">
            <v>306</v>
          </cell>
          <cell r="Q38">
            <v>299</v>
          </cell>
          <cell r="R38">
            <v>188</v>
          </cell>
          <cell r="S38">
            <v>156</v>
          </cell>
          <cell r="T38">
            <v>164</v>
          </cell>
          <cell r="U38">
            <v>26</v>
          </cell>
          <cell r="V38">
            <v>34</v>
          </cell>
          <cell r="W38">
            <v>29</v>
          </cell>
          <cell r="X38">
            <v>39</v>
          </cell>
          <cell r="Y38">
            <v>30</v>
          </cell>
          <cell r="Z38">
            <v>27</v>
          </cell>
          <cell r="AA38">
            <v>31</v>
          </cell>
          <cell r="AB38">
            <v>30</v>
          </cell>
          <cell r="AC38">
            <v>33</v>
          </cell>
          <cell r="AD38">
            <v>31</v>
          </cell>
          <cell r="AE38">
            <v>48</v>
          </cell>
          <cell r="AF38">
            <v>32</v>
          </cell>
          <cell r="AG38">
            <v>58</v>
          </cell>
          <cell r="AH38">
            <v>32</v>
          </cell>
          <cell r="AI38">
            <v>46</v>
          </cell>
          <cell r="AJ38">
            <v>52</v>
          </cell>
          <cell r="AK38">
            <v>48</v>
          </cell>
          <cell r="AL38">
            <v>31</v>
          </cell>
          <cell r="AM38">
            <v>39</v>
          </cell>
          <cell r="AN38">
            <v>34</v>
          </cell>
          <cell r="AO38">
            <v>537</v>
          </cell>
          <cell r="AP38">
            <v>365</v>
          </cell>
          <cell r="AQ38">
            <v>592</v>
          </cell>
          <cell r="AR38">
            <v>538</v>
          </cell>
          <cell r="AS38">
            <v>333</v>
          </cell>
          <cell r="AT38">
            <v>346</v>
          </cell>
          <cell r="AU38">
            <v>429</v>
          </cell>
          <cell r="AV38">
            <v>399</v>
          </cell>
          <cell r="AW38">
            <v>504</v>
          </cell>
          <cell r="AX38">
            <v>448</v>
          </cell>
          <cell r="AY38">
            <v>357</v>
          </cell>
          <cell r="AZ38">
            <v>314</v>
          </cell>
          <cell r="BA38">
            <v>1304</v>
          </cell>
          <cell r="BB38">
            <v>286</v>
          </cell>
          <cell r="BC38">
            <v>181</v>
          </cell>
          <cell r="BD38">
            <v>283</v>
          </cell>
          <cell r="BE38">
            <v>277</v>
          </cell>
          <cell r="BF38">
            <v>161</v>
          </cell>
          <cell r="BG38">
            <v>109</v>
          </cell>
          <cell r="BH38">
            <v>7</v>
          </cell>
          <cell r="BI38">
            <v>346</v>
          </cell>
          <cell r="BJ38">
            <v>745</v>
          </cell>
          <cell r="BK38">
            <v>213</v>
          </cell>
          <cell r="BL38">
            <v>1407</v>
          </cell>
          <cell r="BM38">
            <v>251</v>
          </cell>
          <cell r="BN38">
            <v>184</v>
          </cell>
          <cell r="BO38">
            <v>309</v>
          </cell>
          <cell r="BP38">
            <v>261</v>
          </cell>
          <cell r="BQ38">
            <v>172</v>
          </cell>
          <cell r="BR38">
            <v>187</v>
          </cell>
          <cell r="BS38">
            <v>43</v>
          </cell>
          <cell r="BT38">
            <v>312</v>
          </cell>
          <cell r="BU38">
            <v>753</v>
          </cell>
          <cell r="BV38">
            <v>342</v>
          </cell>
          <cell r="BW38">
            <v>2539</v>
          </cell>
          <cell r="BX38">
            <v>1742</v>
          </cell>
          <cell r="BY38">
            <v>153</v>
          </cell>
          <cell r="BZ38">
            <v>397</v>
          </cell>
          <cell r="CA38">
            <v>41</v>
          </cell>
          <cell r="CB38">
            <v>191</v>
          </cell>
          <cell r="CC38">
            <v>0</v>
          </cell>
          <cell r="CD38">
            <v>15</v>
          </cell>
          <cell r="CE38">
            <v>367</v>
          </cell>
          <cell r="CF38">
            <v>18</v>
          </cell>
          <cell r="CG38">
            <v>96</v>
          </cell>
          <cell r="CH38">
            <v>240</v>
          </cell>
          <cell r="CI38">
            <v>18</v>
          </cell>
          <cell r="CJ38">
            <v>83</v>
          </cell>
          <cell r="CK38">
            <v>1068</v>
          </cell>
          <cell r="CL38">
            <v>90</v>
          </cell>
          <cell r="CM38">
            <v>353</v>
          </cell>
          <cell r="CN38">
            <v>866</v>
          </cell>
          <cell r="CO38">
            <v>27</v>
          </cell>
          <cell r="CP38">
            <v>112</v>
          </cell>
          <cell r="CQ38">
            <v>2160</v>
          </cell>
          <cell r="CR38">
            <v>72</v>
          </cell>
          <cell r="CS38">
            <v>96</v>
          </cell>
          <cell r="CT38">
            <v>176</v>
          </cell>
          <cell r="CU38">
            <v>304</v>
          </cell>
          <cell r="CV38">
            <v>312</v>
          </cell>
          <cell r="CW38">
            <v>316</v>
          </cell>
          <cell r="CX38">
            <v>652</v>
          </cell>
          <cell r="CY38">
            <v>232</v>
          </cell>
          <cell r="CZ38">
            <v>2044</v>
          </cell>
          <cell r="DA38">
            <v>60</v>
          </cell>
          <cell r="DB38">
            <v>100</v>
          </cell>
          <cell r="DC38">
            <v>88</v>
          </cell>
          <cell r="DD38">
            <v>208</v>
          </cell>
          <cell r="DE38">
            <v>304</v>
          </cell>
          <cell r="DF38">
            <v>340</v>
          </cell>
          <cell r="DG38">
            <v>628</v>
          </cell>
          <cell r="DH38">
            <v>316</v>
          </cell>
          <cell r="DI38">
            <v>1016</v>
          </cell>
          <cell r="DJ38">
            <v>52</v>
          </cell>
          <cell r="DK38">
            <v>68</v>
          </cell>
          <cell r="DL38">
            <v>108</v>
          </cell>
          <cell r="DM38">
            <v>152</v>
          </cell>
          <cell r="DN38">
            <v>40</v>
          </cell>
          <cell r="DO38">
            <v>240</v>
          </cell>
          <cell r="DP38">
            <v>288</v>
          </cell>
          <cell r="DQ38">
            <v>68</v>
          </cell>
          <cell r="DR38">
            <v>1144</v>
          </cell>
          <cell r="DS38">
            <v>20</v>
          </cell>
          <cell r="DT38">
            <v>28</v>
          </cell>
          <cell r="DU38">
            <v>68</v>
          </cell>
          <cell r="DV38">
            <v>152</v>
          </cell>
          <cell r="DW38">
            <v>272</v>
          </cell>
          <cell r="DX38">
            <v>76</v>
          </cell>
          <cell r="DY38">
            <v>364</v>
          </cell>
          <cell r="DZ38">
            <v>164</v>
          </cell>
          <cell r="EA38">
            <v>220</v>
          </cell>
          <cell r="EB38">
            <v>0</v>
          </cell>
          <cell r="EC38">
            <v>0</v>
          </cell>
          <cell r="ED38">
            <v>4</v>
          </cell>
          <cell r="EE38">
            <v>4</v>
          </cell>
          <cell r="EF38">
            <v>44</v>
          </cell>
          <cell r="EG38">
            <v>76</v>
          </cell>
          <cell r="EH38">
            <v>0</v>
          </cell>
          <cell r="EI38">
            <v>92</v>
          </cell>
          <cell r="EJ38">
            <v>1112</v>
          </cell>
          <cell r="EK38">
            <v>60</v>
          </cell>
          <cell r="EL38">
            <v>80</v>
          </cell>
          <cell r="EM38">
            <v>156</v>
          </cell>
          <cell r="EN38">
            <v>252</v>
          </cell>
          <cell r="EO38">
            <v>240</v>
          </cell>
          <cell r="EP38">
            <v>236</v>
          </cell>
          <cell r="EQ38">
            <v>4</v>
          </cell>
          <cell r="ER38">
            <v>84</v>
          </cell>
          <cell r="ES38">
            <v>828</v>
          </cell>
          <cell r="ET38">
            <v>12</v>
          </cell>
          <cell r="EU38">
            <v>16</v>
          </cell>
          <cell r="EV38">
            <v>16</v>
          </cell>
          <cell r="EW38">
            <v>48</v>
          </cell>
          <cell r="EX38">
            <v>28</v>
          </cell>
          <cell r="EY38">
            <v>4</v>
          </cell>
          <cell r="EZ38">
            <v>648</v>
          </cell>
          <cell r="FA38">
            <v>56</v>
          </cell>
        </row>
        <row r="39">
          <cell r="A39" t="str">
            <v>37272</v>
          </cell>
          <cell r="B39" t="str">
            <v>Villandry</v>
          </cell>
          <cell r="C39" t="str">
            <v>Tour(s)plus</v>
          </cell>
          <cell r="D39">
            <v>1111.348876</v>
          </cell>
          <cell r="E39">
            <v>920</v>
          </cell>
          <cell r="F39">
            <v>776</v>
          </cell>
          <cell r="G39">
            <v>742</v>
          </cell>
          <cell r="H39">
            <v>679</v>
          </cell>
          <cell r="I39">
            <v>610</v>
          </cell>
          <cell r="J39">
            <v>17.8</v>
          </cell>
          <cell r="K39">
            <v>127</v>
          </cell>
          <cell r="L39">
            <v>89</v>
          </cell>
          <cell r="M39">
            <v>76</v>
          </cell>
          <cell r="N39">
            <v>65</v>
          </cell>
          <cell r="O39">
            <v>66</v>
          </cell>
          <cell r="P39">
            <v>44</v>
          </cell>
          <cell r="Q39">
            <v>46</v>
          </cell>
          <cell r="R39">
            <v>47</v>
          </cell>
          <cell r="S39">
            <v>50</v>
          </cell>
          <cell r="T39">
            <v>65</v>
          </cell>
          <cell r="U39">
            <v>12</v>
          </cell>
          <cell r="V39">
            <v>20</v>
          </cell>
          <cell r="W39">
            <v>21</v>
          </cell>
          <cell r="X39">
            <v>15</v>
          </cell>
          <cell r="Y39">
            <v>13</v>
          </cell>
          <cell r="Z39">
            <v>20</v>
          </cell>
          <cell r="AA39">
            <v>20</v>
          </cell>
          <cell r="AB39">
            <v>20</v>
          </cell>
          <cell r="AC39">
            <v>18</v>
          </cell>
          <cell r="AD39">
            <v>14</v>
          </cell>
          <cell r="AE39">
            <v>2</v>
          </cell>
          <cell r="AF39">
            <v>3</v>
          </cell>
          <cell r="AG39">
            <v>3</v>
          </cell>
          <cell r="AH39">
            <v>5</v>
          </cell>
          <cell r="AI39">
            <v>7</v>
          </cell>
          <cell r="AJ39">
            <v>8</v>
          </cell>
          <cell r="AK39">
            <v>10</v>
          </cell>
          <cell r="AL39">
            <v>4</v>
          </cell>
          <cell r="AM39">
            <v>7</v>
          </cell>
          <cell r="AN39">
            <v>9</v>
          </cell>
          <cell r="AO39">
            <v>272.44253800000001</v>
          </cell>
          <cell r="AP39">
            <v>128.51063099999999</v>
          </cell>
          <cell r="AQ39">
            <v>327.90296000000001</v>
          </cell>
          <cell r="AR39">
            <v>196.19573399999999</v>
          </cell>
          <cell r="AS39">
            <v>117.752335</v>
          </cell>
          <cell r="AT39">
            <v>68.544678000000005</v>
          </cell>
          <cell r="AU39">
            <v>207</v>
          </cell>
          <cell r="AV39">
            <v>133</v>
          </cell>
          <cell r="AW39">
            <v>236</v>
          </cell>
          <cell r="AX39">
            <v>176</v>
          </cell>
          <cell r="AY39">
            <v>111</v>
          </cell>
          <cell r="AZ39">
            <v>57</v>
          </cell>
          <cell r="BA39">
            <v>544.51996999999994</v>
          </cell>
          <cell r="BB39">
            <v>135.70722599999999</v>
          </cell>
          <cell r="BC39">
            <v>52.432336999999997</v>
          </cell>
          <cell r="BD39">
            <v>172.66211799999999</v>
          </cell>
          <cell r="BE39">
            <v>95.527653999999998</v>
          </cell>
          <cell r="BF39">
            <v>56.376167000000002</v>
          </cell>
          <cell r="BG39">
            <v>29.758296000000001</v>
          </cell>
          <cell r="BH39">
            <v>2.0561699999999998</v>
          </cell>
          <cell r="BI39">
            <v>155.24084199999999</v>
          </cell>
          <cell r="BJ39">
            <v>322.650195</v>
          </cell>
          <cell r="BK39">
            <v>66.628933000000004</v>
          </cell>
          <cell r="BL39">
            <v>566.82890599999996</v>
          </cell>
          <cell r="BM39">
            <v>136.735311</v>
          </cell>
          <cell r="BN39">
            <v>76.078294</v>
          </cell>
          <cell r="BO39">
            <v>155.24084199999999</v>
          </cell>
          <cell r="BP39">
            <v>100.66808</v>
          </cell>
          <cell r="BQ39">
            <v>61.376167000000002</v>
          </cell>
          <cell r="BR39">
            <v>34.702126</v>
          </cell>
          <cell r="BS39">
            <v>2.0280849999999999</v>
          </cell>
          <cell r="BT39">
            <v>169.63403299999999</v>
          </cell>
          <cell r="BU39">
            <v>318.59402499999999</v>
          </cell>
          <cell r="BV39">
            <v>78.600847999999999</v>
          </cell>
          <cell r="BW39">
            <v>1002.371861</v>
          </cell>
          <cell r="BX39">
            <v>678.86209099999996</v>
          </cell>
          <cell r="BY39">
            <v>32.898721999999999</v>
          </cell>
          <cell r="BZ39">
            <v>230.12254100000001</v>
          </cell>
          <cell r="CA39">
            <v>5.1404249999999996</v>
          </cell>
          <cell r="CB39">
            <v>49.179572</v>
          </cell>
          <cell r="CC39">
            <v>0</v>
          </cell>
          <cell r="CD39">
            <v>6.1685100000000004</v>
          </cell>
          <cell r="CE39">
            <v>163.46552299999999</v>
          </cell>
          <cell r="CF39">
            <v>6.1685100000000004</v>
          </cell>
          <cell r="CG39">
            <v>42.151487000000003</v>
          </cell>
          <cell r="CH39">
            <v>90.471484000000004</v>
          </cell>
          <cell r="CI39">
            <v>3.0842550000000002</v>
          </cell>
          <cell r="CJ39">
            <v>33.926806999999997</v>
          </cell>
          <cell r="CK39">
            <v>506.70550400000002</v>
          </cell>
          <cell r="CL39">
            <v>18.505531000000001</v>
          </cell>
          <cell r="CM39">
            <v>200.33615900000001</v>
          </cell>
          <cell r="CN39">
            <v>241.72935000000001</v>
          </cell>
          <cell r="CO39">
            <v>5.1404249999999996</v>
          </cell>
          <cell r="CP39">
            <v>14.196595</v>
          </cell>
          <cell r="CQ39">
            <v>838.01867800000002</v>
          </cell>
          <cell r="CR39">
            <v>20.561700999999999</v>
          </cell>
          <cell r="CS39">
            <v>37.011062000000003</v>
          </cell>
          <cell r="CT39">
            <v>37.011062000000003</v>
          </cell>
          <cell r="CU39">
            <v>156.26892699999999</v>
          </cell>
          <cell r="CV39">
            <v>193.16764900000001</v>
          </cell>
          <cell r="CW39">
            <v>131.594886</v>
          </cell>
          <cell r="CX39">
            <v>184.49360799999999</v>
          </cell>
          <cell r="CY39">
            <v>77.909783000000004</v>
          </cell>
          <cell r="CZ39">
            <v>688</v>
          </cell>
          <cell r="DA39">
            <v>20</v>
          </cell>
          <cell r="DB39">
            <v>52</v>
          </cell>
          <cell r="DC39">
            <v>28</v>
          </cell>
          <cell r="DD39">
            <v>88</v>
          </cell>
          <cell r="DE39">
            <v>128</v>
          </cell>
          <cell r="DF39">
            <v>112</v>
          </cell>
          <cell r="DG39">
            <v>160</v>
          </cell>
          <cell r="DH39">
            <v>100</v>
          </cell>
          <cell r="DI39">
            <v>419.00933900000001</v>
          </cell>
          <cell r="DJ39">
            <v>20.561700999999999</v>
          </cell>
          <cell r="DK39">
            <v>32.898721999999999</v>
          </cell>
          <cell r="DL39">
            <v>16.449361</v>
          </cell>
          <cell r="DM39">
            <v>78.134463999999994</v>
          </cell>
          <cell r="DN39">
            <v>28.786380999999999</v>
          </cell>
          <cell r="DO39">
            <v>111.033185</v>
          </cell>
          <cell r="DP39">
            <v>98.359144000000001</v>
          </cell>
          <cell r="DQ39">
            <v>32.786380999999999</v>
          </cell>
          <cell r="DR39">
            <v>419.00933900000001</v>
          </cell>
          <cell r="DS39">
            <v>0</v>
          </cell>
          <cell r="DT39">
            <v>4.1123399999999997</v>
          </cell>
          <cell r="DU39">
            <v>20.561700999999999</v>
          </cell>
          <cell r="DV39">
            <v>78.134463999999994</v>
          </cell>
          <cell r="DW39">
            <v>164.38126800000001</v>
          </cell>
          <cell r="DX39">
            <v>20.561700999999999</v>
          </cell>
          <cell r="DY39">
            <v>86.134463999999994</v>
          </cell>
          <cell r="DZ39">
            <v>45.123401999999999</v>
          </cell>
          <cell r="EA39">
            <v>94.583824000000007</v>
          </cell>
          <cell r="EB39">
            <v>0</v>
          </cell>
          <cell r="EC39">
            <v>0</v>
          </cell>
          <cell r="ED39">
            <v>0</v>
          </cell>
          <cell r="EE39">
            <v>8.2246799999999993</v>
          </cell>
          <cell r="EF39">
            <v>20.561700999999999</v>
          </cell>
          <cell r="EG39">
            <v>24.674040999999999</v>
          </cell>
          <cell r="EH39">
            <v>0</v>
          </cell>
          <cell r="EI39">
            <v>41.123401999999999</v>
          </cell>
          <cell r="EJ39">
            <v>505.593164</v>
          </cell>
          <cell r="EK39">
            <v>12.337021</v>
          </cell>
          <cell r="EL39">
            <v>37.011062000000003</v>
          </cell>
          <cell r="EM39">
            <v>37.011062000000003</v>
          </cell>
          <cell r="EN39">
            <v>139.81956700000001</v>
          </cell>
          <cell r="EO39">
            <v>156.156587</v>
          </cell>
          <cell r="EP39">
            <v>98.696164999999993</v>
          </cell>
          <cell r="EQ39">
            <v>0</v>
          </cell>
          <cell r="ER39">
            <v>24.561700999999999</v>
          </cell>
          <cell r="ES39">
            <v>237.84169</v>
          </cell>
          <cell r="ET39">
            <v>8.2246799999999993</v>
          </cell>
          <cell r="EU39">
            <v>0</v>
          </cell>
          <cell r="EV39">
            <v>0</v>
          </cell>
          <cell r="EW39">
            <v>8.2246799999999993</v>
          </cell>
          <cell r="EX39">
            <v>16.449361</v>
          </cell>
          <cell r="EY39">
            <v>8.2246799999999993</v>
          </cell>
          <cell r="EZ39">
            <v>184.49360799999999</v>
          </cell>
          <cell r="FA39">
            <v>12.224679999999999</v>
          </cell>
        </row>
        <row r="40">
          <cell r="A40" t="str">
            <v>37273</v>
          </cell>
          <cell r="B40" t="str">
            <v>La Ville-aux-Dames</v>
          </cell>
          <cell r="C40" t="str">
            <v>CC de l'Est Tourangeau</v>
          </cell>
          <cell r="D40">
            <v>4520</v>
          </cell>
          <cell r="E40">
            <v>4643</v>
          </cell>
          <cell r="F40">
            <v>4193</v>
          </cell>
          <cell r="G40">
            <v>3481</v>
          </cell>
          <cell r="H40">
            <v>2479</v>
          </cell>
          <cell r="I40">
            <v>1915</v>
          </cell>
          <cell r="J40">
            <v>8</v>
          </cell>
          <cell r="K40">
            <v>368</v>
          </cell>
          <cell r="L40">
            <v>396</v>
          </cell>
          <cell r="M40">
            <v>304</v>
          </cell>
          <cell r="N40">
            <v>236</v>
          </cell>
          <cell r="O40">
            <v>193</v>
          </cell>
          <cell r="P40">
            <v>184</v>
          </cell>
          <cell r="Q40">
            <v>202</v>
          </cell>
          <cell r="R40">
            <v>169</v>
          </cell>
          <cell r="S40">
            <v>137</v>
          </cell>
          <cell r="T40">
            <v>100</v>
          </cell>
          <cell r="U40">
            <v>50</v>
          </cell>
          <cell r="V40">
            <v>52</v>
          </cell>
          <cell r="W40">
            <v>50</v>
          </cell>
          <cell r="X40">
            <v>42</v>
          </cell>
          <cell r="Y40">
            <v>57</v>
          </cell>
          <cell r="Z40">
            <v>45</v>
          </cell>
          <cell r="AA40">
            <v>48</v>
          </cell>
          <cell r="AB40">
            <v>59</v>
          </cell>
          <cell r="AC40">
            <v>67</v>
          </cell>
          <cell r="AD40">
            <v>49</v>
          </cell>
          <cell r="AE40">
            <v>27</v>
          </cell>
          <cell r="AF40">
            <v>27</v>
          </cell>
          <cell r="AG40">
            <v>35</v>
          </cell>
          <cell r="AH40">
            <v>25</v>
          </cell>
          <cell r="AI40">
            <v>34</v>
          </cell>
          <cell r="AJ40">
            <v>26</v>
          </cell>
          <cell r="AK40">
            <v>25</v>
          </cell>
          <cell r="AL40">
            <v>19</v>
          </cell>
          <cell r="AM40">
            <v>20</v>
          </cell>
          <cell r="AN40">
            <v>26</v>
          </cell>
          <cell r="AO40">
            <v>778</v>
          </cell>
          <cell r="AP40">
            <v>747</v>
          </cell>
          <cell r="AQ40">
            <v>860</v>
          </cell>
          <cell r="AR40">
            <v>1144</v>
          </cell>
          <cell r="AS40">
            <v>692</v>
          </cell>
          <cell r="AT40">
            <v>299</v>
          </cell>
          <cell r="AU40">
            <v>928</v>
          </cell>
          <cell r="AV40">
            <v>869</v>
          </cell>
          <cell r="AW40">
            <v>1008</v>
          </cell>
          <cell r="AX40">
            <v>1076</v>
          </cell>
          <cell r="AY40">
            <v>564</v>
          </cell>
          <cell r="AZ40">
            <v>198</v>
          </cell>
          <cell r="BA40">
            <v>2199</v>
          </cell>
          <cell r="BB40">
            <v>379</v>
          </cell>
          <cell r="BC40">
            <v>382</v>
          </cell>
          <cell r="BD40">
            <v>405</v>
          </cell>
          <cell r="BE40">
            <v>541</v>
          </cell>
          <cell r="BF40">
            <v>364</v>
          </cell>
          <cell r="BG40">
            <v>118</v>
          </cell>
          <cell r="BH40">
            <v>10</v>
          </cell>
          <cell r="BI40">
            <v>560</v>
          </cell>
          <cell r="BJ40">
            <v>1306</v>
          </cell>
          <cell r="BK40">
            <v>333</v>
          </cell>
          <cell r="BL40">
            <v>2321</v>
          </cell>
          <cell r="BM40">
            <v>399</v>
          </cell>
          <cell r="BN40">
            <v>365</v>
          </cell>
          <cell r="BO40">
            <v>455</v>
          </cell>
          <cell r="BP40">
            <v>603</v>
          </cell>
          <cell r="BQ40">
            <v>328</v>
          </cell>
          <cell r="BR40">
            <v>158</v>
          </cell>
          <cell r="BS40">
            <v>13</v>
          </cell>
          <cell r="BT40">
            <v>566</v>
          </cell>
          <cell r="BU40">
            <v>1401</v>
          </cell>
          <cell r="BV40">
            <v>354</v>
          </cell>
          <cell r="BW40">
            <v>4280</v>
          </cell>
          <cell r="BX40">
            <v>3100</v>
          </cell>
          <cell r="BY40">
            <v>318</v>
          </cell>
          <cell r="BZ40">
            <v>634</v>
          </cell>
          <cell r="CA40">
            <v>58</v>
          </cell>
          <cell r="CB40">
            <v>155</v>
          </cell>
          <cell r="CC40">
            <v>1</v>
          </cell>
          <cell r="CD40">
            <v>14</v>
          </cell>
          <cell r="CE40">
            <v>540</v>
          </cell>
          <cell r="CF40">
            <v>74</v>
          </cell>
          <cell r="CG40">
            <v>140</v>
          </cell>
          <cell r="CH40">
            <v>562</v>
          </cell>
          <cell r="CI40">
            <v>60</v>
          </cell>
          <cell r="CJ40">
            <v>102</v>
          </cell>
          <cell r="CK40">
            <v>1763</v>
          </cell>
          <cell r="CL40">
            <v>157</v>
          </cell>
          <cell r="CM40">
            <v>518</v>
          </cell>
          <cell r="CN40">
            <v>1417</v>
          </cell>
          <cell r="CO40">
            <v>27</v>
          </cell>
          <cell r="CP40">
            <v>102</v>
          </cell>
          <cell r="CQ40">
            <v>3720</v>
          </cell>
          <cell r="CR40">
            <v>4</v>
          </cell>
          <cell r="CS40">
            <v>96</v>
          </cell>
          <cell r="CT40">
            <v>176</v>
          </cell>
          <cell r="CU40">
            <v>548</v>
          </cell>
          <cell r="CV40">
            <v>768</v>
          </cell>
          <cell r="CW40">
            <v>464</v>
          </cell>
          <cell r="CX40">
            <v>1104</v>
          </cell>
          <cell r="CY40">
            <v>560</v>
          </cell>
          <cell r="CZ40">
            <v>3732</v>
          </cell>
          <cell r="DA40">
            <v>24</v>
          </cell>
          <cell r="DB40">
            <v>92</v>
          </cell>
          <cell r="DC40">
            <v>144</v>
          </cell>
          <cell r="DD40">
            <v>512</v>
          </cell>
          <cell r="DE40">
            <v>760</v>
          </cell>
          <cell r="DF40">
            <v>644</v>
          </cell>
          <cell r="DG40">
            <v>768</v>
          </cell>
          <cell r="DH40">
            <v>788</v>
          </cell>
          <cell r="DI40">
            <v>1828</v>
          </cell>
          <cell r="DJ40">
            <v>4</v>
          </cell>
          <cell r="DK40">
            <v>88</v>
          </cell>
          <cell r="DL40">
            <v>120</v>
          </cell>
          <cell r="DM40">
            <v>244</v>
          </cell>
          <cell r="DN40">
            <v>112</v>
          </cell>
          <cell r="DO40">
            <v>404</v>
          </cell>
          <cell r="DP40">
            <v>612</v>
          </cell>
          <cell r="DQ40">
            <v>244</v>
          </cell>
          <cell r="DR40">
            <v>1892</v>
          </cell>
          <cell r="DS40">
            <v>0</v>
          </cell>
          <cell r="DT40">
            <v>8</v>
          </cell>
          <cell r="DU40">
            <v>56</v>
          </cell>
          <cell r="DV40">
            <v>304</v>
          </cell>
          <cell r="DW40">
            <v>656</v>
          </cell>
          <cell r="DX40">
            <v>60</v>
          </cell>
          <cell r="DY40">
            <v>492</v>
          </cell>
          <cell r="DZ40">
            <v>316</v>
          </cell>
          <cell r="EA40">
            <v>512</v>
          </cell>
          <cell r="EB40">
            <v>0</v>
          </cell>
          <cell r="EC40">
            <v>0</v>
          </cell>
          <cell r="ED40">
            <v>4</v>
          </cell>
          <cell r="EE40">
            <v>36</v>
          </cell>
          <cell r="EF40">
            <v>76</v>
          </cell>
          <cell r="EG40">
            <v>76</v>
          </cell>
          <cell r="EH40">
            <v>0</v>
          </cell>
          <cell r="EI40">
            <v>320</v>
          </cell>
          <cell r="EJ40">
            <v>1716</v>
          </cell>
          <cell r="EK40">
            <v>4</v>
          </cell>
          <cell r="EL40">
            <v>88</v>
          </cell>
          <cell r="EM40">
            <v>140</v>
          </cell>
          <cell r="EN40">
            <v>448</v>
          </cell>
          <cell r="EO40">
            <v>556</v>
          </cell>
          <cell r="EP40">
            <v>340</v>
          </cell>
          <cell r="EQ40">
            <v>12</v>
          </cell>
          <cell r="ER40">
            <v>128</v>
          </cell>
          <cell r="ES40">
            <v>1492</v>
          </cell>
          <cell r="ET40">
            <v>0</v>
          </cell>
          <cell r="EU40">
            <v>8</v>
          </cell>
          <cell r="EV40">
            <v>32</v>
          </cell>
          <cell r="EW40">
            <v>64</v>
          </cell>
          <cell r="EX40">
            <v>136</v>
          </cell>
          <cell r="EY40">
            <v>48</v>
          </cell>
          <cell r="EZ40">
            <v>1092</v>
          </cell>
          <cell r="FA40">
            <v>112</v>
          </cell>
        </row>
        <row r="41">
          <cell r="A41" t="str">
            <v>37281</v>
          </cell>
          <cell r="B41" t="str">
            <v>Vouvray</v>
          </cell>
          <cell r="C41" t="str">
            <v>Vouvrillon</v>
          </cell>
          <cell r="D41">
            <v>3083</v>
          </cell>
          <cell r="E41">
            <v>3048</v>
          </cell>
          <cell r="F41">
            <v>2933</v>
          </cell>
          <cell r="G41">
            <v>2469</v>
          </cell>
          <cell r="H41">
            <v>2606</v>
          </cell>
          <cell r="I41">
            <v>2725</v>
          </cell>
          <cell r="J41">
            <v>22.92</v>
          </cell>
          <cell r="K41">
            <v>264</v>
          </cell>
          <cell r="L41">
            <v>312</v>
          </cell>
          <cell r="M41">
            <v>268</v>
          </cell>
          <cell r="N41">
            <v>202</v>
          </cell>
          <cell r="O41">
            <v>228</v>
          </cell>
          <cell r="P41">
            <v>155</v>
          </cell>
          <cell r="Q41">
            <v>205</v>
          </cell>
          <cell r="R41">
            <v>196</v>
          </cell>
          <cell r="S41">
            <v>189</v>
          </cell>
          <cell r="T41">
            <v>232</v>
          </cell>
          <cell r="U41">
            <v>28</v>
          </cell>
          <cell r="V41">
            <v>36</v>
          </cell>
          <cell r="W41">
            <v>41</v>
          </cell>
          <cell r="X41">
            <v>39</v>
          </cell>
          <cell r="Y41">
            <v>44</v>
          </cell>
          <cell r="Z41">
            <v>42</v>
          </cell>
          <cell r="AA41">
            <v>28</v>
          </cell>
          <cell r="AB41">
            <v>34</v>
          </cell>
          <cell r="AC41">
            <v>36</v>
          </cell>
          <cell r="AD41">
            <v>29</v>
          </cell>
          <cell r="AE41">
            <v>26</v>
          </cell>
          <cell r="AF41">
            <v>26</v>
          </cell>
          <cell r="AG41">
            <v>21</v>
          </cell>
          <cell r="AH41">
            <v>25</v>
          </cell>
          <cell r="AI41">
            <v>20</v>
          </cell>
          <cell r="AJ41">
            <v>26</v>
          </cell>
          <cell r="AK41">
            <v>21</v>
          </cell>
          <cell r="AL41">
            <v>25</v>
          </cell>
          <cell r="AM41">
            <v>17</v>
          </cell>
          <cell r="AN41">
            <v>28</v>
          </cell>
          <cell r="AO41">
            <v>571</v>
          </cell>
          <cell r="AP41">
            <v>534</v>
          </cell>
          <cell r="AQ41">
            <v>620</v>
          </cell>
          <cell r="AR41">
            <v>740</v>
          </cell>
          <cell r="AS41">
            <v>359</v>
          </cell>
          <cell r="AT41">
            <v>259</v>
          </cell>
          <cell r="AU41">
            <v>597</v>
          </cell>
          <cell r="AV41">
            <v>525</v>
          </cell>
          <cell r="AW41">
            <v>696</v>
          </cell>
          <cell r="AX41">
            <v>571</v>
          </cell>
          <cell r="AY41">
            <v>432</v>
          </cell>
          <cell r="AZ41">
            <v>227</v>
          </cell>
          <cell r="BA41">
            <v>1541</v>
          </cell>
          <cell r="BB41">
            <v>303</v>
          </cell>
          <cell r="BC41">
            <v>299</v>
          </cell>
          <cell r="BD41">
            <v>304</v>
          </cell>
          <cell r="BE41">
            <v>365</v>
          </cell>
          <cell r="BF41">
            <v>170</v>
          </cell>
          <cell r="BG41">
            <v>96</v>
          </cell>
          <cell r="BH41">
            <v>4</v>
          </cell>
          <cell r="BI41">
            <v>441</v>
          </cell>
          <cell r="BJ41">
            <v>889</v>
          </cell>
          <cell r="BK41">
            <v>211</v>
          </cell>
          <cell r="BL41">
            <v>1542</v>
          </cell>
          <cell r="BM41">
            <v>268</v>
          </cell>
          <cell r="BN41">
            <v>235</v>
          </cell>
          <cell r="BO41">
            <v>316</v>
          </cell>
          <cell r="BP41">
            <v>375</v>
          </cell>
          <cell r="BQ41">
            <v>189</v>
          </cell>
          <cell r="BR41">
            <v>149</v>
          </cell>
          <cell r="BS41">
            <v>10</v>
          </cell>
          <cell r="BT41">
            <v>359</v>
          </cell>
          <cell r="BU41">
            <v>889</v>
          </cell>
          <cell r="BV41">
            <v>294</v>
          </cell>
          <cell r="BW41">
            <v>2901</v>
          </cell>
          <cell r="BX41">
            <v>2015</v>
          </cell>
          <cell r="BY41">
            <v>171</v>
          </cell>
          <cell r="BZ41">
            <v>472</v>
          </cell>
          <cell r="CA41">
            <v>62</v>
          </cell>
          <cell r="CB41">
            <v>153</v>
          </cell>
          <cell r="CC41">
            <v>6</v>
          </cell>
          <cell r="CD41">
            <v>22</v>
          </cell>
          <cell r="CE41">
            <v>393</v>
          </cell>
          <cell r="CF41">
            <v>24</v>
          </cell>
          <cell r="CG41">
            <v>104</v>
          </cell>
          <cell r="CH41">
            <v>376</v>
          </cell>
          <cell r="CI41">
            <v>36</v>
          </cell>
          <cell r="CJ41">
            <v>109</v>
          </cell>
          <cell r="CK41">
            <v>1289</v>
          </cell>
          <cell r="CL41">
            <v>87</v>
          </cell>
          <cell r="CM41">
            <v>438</v>
          </cell>
          <cell r="CN41">
            <v>847</v>
          </cell>
          <cell r="CO41">
            <v>24</v>
          </cell>
          <cell r="CP41">
            <v>64</v>
          </cell>
          <cell r="CQ41">
            <v>2476</v>
          </cell>
          <cell r="CR41">
            <v>56</v>
          </cell>
          <cell r="CS41">
            <v>92</v>
          </cell>
          <cell r="CT41">
            <v>216</v>
          </cell>
          <cell r="CU41">
            <v>364</v>
          </cell>
          <cell r="CV41">
            <v>416</v>
          </cell>
          <cell r="CW41">
            <v>360</v>
          </cell>
          <cell r="CX41">
            <v>576</v>
          </cell>
          <cell r="CY41">
            <v>396</v>
          </cell>
          <cell r="CZ41">
            <v>2464</v>
          </cell>
          <cell r="DA41">
            <v>92</v>
          </cell>
          <cell r="DB41">
            <v>104</v>
          </cell>
          <cell r="DC41">
            <v>196</v>
          </cell>
          <cell r="DD41">
            <v>272</v>
          </cell>
          <cell r="DE41">
            <v>308</v>
          </cell>
          <cell r="DF41">
            <v>400</v>
          </cell>
          <cell r="DG41">
            <v>620</v>
          </cell>
          <cell r="DH41">
            <v>472</v>
          </cell>
          <cell r="DI41">
            <v>1216</v>
          </cell>
          <cell r="DJ41">
            <v>44</v>
          </cell>
          <cell r="DK41">
            <v>76</v>
          </cell>
          <cell r="DL41">
            <v>148</v>
          </cell>
          <cell r="DM41">
            <v>152</v>
          </cell>
          <cell r="DN41">
            <v>108</v>
          </cell>
          <cell r="DO41">
            <v>260</v>
          </cell>
          <cell r="DP41">
            <v>260</v>
          </cell>
          <cell r="DQ41">
            <v>168</v>
          </cell>
          <cell r="DR41">
            <v>1260</v>
          </cell>
          <cell r="DS41">
            <v>12</v>
          </cell>
          <cell r="DT41">
            <v>16</v>
          </cell>
          <cell r="DU41">
            <v>68</v>
          </cell>
          <cell r="DV41">
            <v>212</v>
          </cell>
          <cell r="DW41">
            <v>308</v>
          </cell>
          <cell r="DX41">
            <v>100</v>
          </cell>
          <cell r="DY41">
            <v>316</v>
          </cell>
          <cell r="DZ41">
            <v>228</v>
          </cell>
          <cell r="EA41">
            <v>352</v>
          </cell>
          <cell r="EB41">
            <v>0</v>
          </cell>
          <cell r="EC41">
            <v>0</v>
          </cell>
          <cell r="ED41">
            <v>0</v>
          </cell>
          <cell r="EE41">
            <v>20</v>
          </cell>
          <cell r="EF41">
            <v>68</v>
          </cell>
          <cell r="EG41">
            <v>60</v>
          </cell>
          <cell r="EH41">
            <v>0</v>
          </cell>
          <cell r="EI41">
            <v>204</v>
          </cell>
          <cell r="EJ41">
            <v>1324</v>
          </cell>
          <cell r="EK41">
            <v>36</v>
          </cell>
          <cell r="EL41">
            <v>76</v>
          </cell>
          <cell r="EM41">
            <v>188</v>
          </cell>
          <cell r="EN41">
            <v>300</v>
          </cell>
          <cell r="EO41">
            <v>312</v>
          </cell>
          <cell r="EP41">
            <v>292</v>
          </cell>
          <cell r="EQ41">
            <v>4</v>
          </cell>
          <cell r="ER41">
            <v>116</v>
          </cell>
          <cell r="ES41">
            <v>800</v>
          </cell>
          <cell r="ET41">
            <v>20</v>
          </cell>
          <cell r="EU41">
            <v>16</v>
          </cell>
          <cell r="EV41">
            <v>28</v>
          </cell>
          <cell r="EW41">
            <v>44</v>
          </cell>
          <cell r="EX41">
            <v>36</v>
          </cell>
          <cell r="EY41">
            <v>8</v>
          </cell>
          <cell r="EZ41">
            <v>572</v>
          </cell>
          <cell r="FA41">
            <v>76</v>
          </cell>
        </row>
      </sheetData>
      <sheetData sheetId="7" refreshError="1"/>
    </sheetDataSet>
  </externalBook>
</externalLink>
</file>

<file path=xl/theme/theme1.xml><?xml version="1.0" encoding="utf-8"?>
<a:theme xmlns:a="http://schemas.openxmlformats.org/drawingml/2006/main" name="Thème Office">
  <a:themeElements>
    <a:clrScheme name="Blue Warm">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rgb="FF647586"/>
    <pageSetUpPr fitToPage="1"/>
  </sheetPr>
  <dimension ref="A1:QF315"/>
  <sheetViews>
    <sheetView showGridLines="0" zoomScale="70" zoomScaleNormal="70" workbookViewId="0">
      <pane xSplit="2" ySplit="8" topLeftCell="JF81" activePane="bottomRight" state="frozen"/>
      <selection pane="topRight" activeCell="C1" sqref="C1"/>
      <selection pane="bottomLeft" activeCell="A9" sqref="A9"/>
      <selection pane="bottomRight" activeCell="U12" sqref="U12"/>
    </sheetView>
  </sheetViews>
  <sheetFormatPr baseColWidth="10" defaultColWidth="11.44140625" defaultRowHeight="13.8"/>
  <cols>
    <col min="1" max="1" width="9" style="426" customWidth="1"/>
    <col min="2" max="2" width="31.6640625" style="426" customWidth="1"/>
    <col min="3" max="5" width="9.33203125" style="426" customWidth="1"/>
    <col min="6" max="6" width="18.6640625" style="426" customWidth="1"/>
    <col min="7" max="7" width="31.6640625" style="426" customWidth="1"/>
    <col min="8" max="8" width="10.33203125" style="426" customWidth="1"/>
    <col min="9" max="10" width="9.44140625" style="426" customWidth="1"/>
    <col min="11" max="11" width="9.5546875" style="426" customWidth="1"/>
    <col min="12" max="12" width="31.6640625" style="63" customWidth="1"/>
    <col min="13" max="22" width="9.6640625" style="63" customWidth="1"/>
    <col min="23" max="23" width="11.44140625" style="426" customWidth="1"/>
    <col min="24" max="24" width="31.6640625" style="426" customWidth="1"/>
    <col min="25" max="25" width="13.44140625" style="626" customWidth="1"/>
    <col min="26" max="26" width="12.5546875" style="626" customWidth="1"/>
    <col min="27" max="27" width="12" style="626" customWidth="1"/>
    <col min="28" max="28" width="12.33203125" style="626" customWidth="1"/>
    <col min="29" max="29" width="12" style="426" customWidth="1"/>
    <col min="30" max="31" width="12.44140625" style="426" customWidth="1"/>
    <col min="32" max="32" width="15.5546875" style="426" customWidth="1"/>
    <col min="33" max="33" width="15.109375" style="426" customWidth="1"/>
    <col min="34" max="34" width="11.44140625" style="63" customWidth="1"/>
    <col min="35" max="35" width="11.44140625" style="63" hidden="1" customWidth="1"/>
    <col min="36" max="36" width="11.44140625" style="426" hidden="1" customWidth="1"/>
    <col min="37" max="39" width="11.44140625" style="63" hidden="1" customWidth="1"/>
    <col min="40" max="40" width="31.6640625" style="55" customWidth="1"/>
    <col min="41" max="41" width="12.44140625" style="55" customWidth="1"/>
    <col min="42" max="42" width="13.88671875" style="55" customWidth="1"/>
    <col min="43" max="43" width="13.44140625" style="55" customWidth="1"/>
    <col min="44" max="44" width="13.5546875" style="55" customWidth="1"/>
    <col min="45" max="47" width="9.6640625" style="55" customWidth="1"/>
    <col min="48" max="48" width="15.109375" style="63" customWidth="1"/>
    <col min="49" max="49" width="12.6640625" style="55" customWidth="1"/>
    <col min="50" max="50" width="14.33203125" style="55" customWidth="1"/>
    <col min="51" max="51" width="12.44140625" style="55" customWidth="1"/>
    <col min="52" max="52" width="12.6640625" style="55" customWidth="1"/>
    <col min="53" max="55" width="9.6640625" style="55" customWidth="1"/>
    <col min="56" max="56" width="14.33203125" style="63" customWidth="1"/>
    <col min="57" max="57" width="11.88671875" style="55" customWidth="1"/>
    <col min="58" max="58" width="12.44140625" style="55" customWidth="1"/>
    <col min="59" max="59" width="12.109375" style="55" customWidth="1"/>
    <col min="60" max="60" width="13.44140625" style="55" customWidth="1"/>
    <col min="61" max="63" width="9.6640625" style="55" customWidth="1"/>
    <col min="64" max="64" width="13.88671875" style="63" customWidth="1"/>
    <col min="65" max="65" width="11.44140625" style="426" customWidth="1"/>
    <col min="66" max="66" width="31.6640625" style="426" customWidth="1"/>
    <col min="67" max="84" width="7.6640625" style="426" customWidth="1"/>
    <col min="85" max="85" width="11.44140625" style="426"/>
    <col min="86" max="86" width="31.6640625" style="426" customWidth="1"/>
    <col min="87" max="88" width="9.6640625" style="426" customWidth="1"/>
    <col min="89" max="89" width="9" style="426" customWidth="1"/>
    <col min="90" max="91" width="9.6640625" style="426" customWidth="1"/>
    <col min="92" max="92" width="9" style="426" customWidth="1"/>
    <col min="93" max="94" width="9.6640625" style="426" customWidth="1"/>
    <col min="95" max="95" width="8.88671875" style="426" customWidth="1"/>
    <col min="96" max="96" width="11.44140625" style="426"/>
    <col min="97" max="97" width="20.33203125" style="55" customWidth="1"/>
    <col min="98" max="98" width="15.33203125" style="55" customWidth="1"/>
    <col min="99" max="109" width="11.6640625" style="55" customWidth="1"/>
    <col min="110" max="110" width="11.44140625" style="160" customWidth="1"/>
    <col min="111" max="111" width="31.6640625" style="160" customWidth="1"/>
    <col min="112" max="112" width="14.6640625" style="160" customWidth="1"/>
    <col min="113" max="113" width="13.109375" style="160" customWidth="1"/>
    <col min="114" max="114" width="14.6640625" style="160" customWidth="1"/>
    <col min="115" max="117" width="11.6640625" style="160" customWidth="1"/>
    <col min="118" max="118" width="11.44140625" style="63" customWidth="1"/>
    <col min="119" max="119" width="31.6640625" style="426" customWidth="1"/>
    <col min="120" max="123" width="10.33203125" style="426" customWidth="1"/>
    <col min="124" max="124" width="26.44140625" style="63" customWidth="1"/>
    <col min="125" max="125" width="12.44140625" style="426" customWidth="1"/>
    <col min="126" max="126" width="9.44140625" style="426" customWidth="1"/>
    <col min="127" max="128" width="10.33203125" style="426" customWidth="1"/>
    <col min="129" max="129" width="25" style="63" customWidth="1"/>
    <col min="130" max="130" width="15.33203125" style="426" customWidth="1"/>
    <col min="131" max="133" width="10.33203125" style="426" customWidth="1"/>
    <col min="134" max="134" width="9.6640625" style="426" customWidth="1"/>
    <col min="135" max="135" width="23.6640625" style="426" customWidth="1"/>
    <col min="136" max="136" width="13.44140625" style="426" customWidth="1"/>
    <col min="137" max="139" width="11.6640625" style="426" customWidth="1"/>
    <col min="140" max="140" width="14.44140625" style="426" customWidth="1"/>
    <col min="141" max="141" width="12.6640625" style="426" customWidth="1"/>
    <col min="142" max="144" width="11.6640625" style="426" customWidth="1"/>
    <col min="145" max="145" width="14.33203125" style="426" customWidth="1"/>
    <col min="146" max="146" width="12.6640625" style="426" customWidth="1"/>
    <col min="147" max="149" width="11.6640625" style="426" customWidth="1"/>
    <col min="150" max="150" width="15" style="426" customWidth="1"/>
    <col min="151" max="151" width="12.6640625" style="426" customWidth="1"/>
    <col min="152" max="152" width="24.109375" style="426" customWidth="1"/>
    <col min="153" max="153" width="7" style="426" customWidth="1"/>
    <col min="154" max="160" width="7.33203125" style="426" customWidth="1"/>
    <col min="161" max="161" width="6.88671875" style="426" customWidth="1"/>
    <col min="162" max="172" width="7.33203125" style="426" customWidth="1"/>
    <col min="173" max="173" width="8.88671875" style="426" customWidth="1"/>
    <col min="174" max="177" width="7.33203125" style="426" customWidth="1"/>
    <col min="178" max="178" width="19.5546875" style="426" customWidth="1"/>
    <col min="179" max="179" width="14.109375" style="426" customWidth="1"/>
    <col min="180" max="180" width="10.44140625" style="426" customWidth="1"/>
    <col min="181" max="182" width="8.5546875" style="426" customWidth="1"/>
    <col min="183" max="183" width="9.33203125" style="426" customWidth="1"/>
    <col min="184" max="184" width="10.44140625" style="426" customWidth="1"/>
    <col min="185" max="186" width="8.5546875" style="426" customWidth="1"/>
    <col min="187" max="191" width="9.33203125" style="426" customWidth="1"/>
    <col min="192" max="192" width="18.33203125" style="426" customWidth="1"/>
    <col min="193" max="193" width="11.6640625" style="426" customWidth="1"/>
    <col min="194" max="194" width="11.88671875" style="426" customWidth="1"/>
    <col min="195" max="195" width="13.33203125" style="426" customWidth="1"/>
    <col min="196" max="196" width="8.6640625" style="426" customWidth="1"/>
    <col min="197" max="197" width="19.44140625" style="426" customWidth="1"/>
    <col min="198" max="198" width="13.109375" style="426" customWidth="1"/>
    <col min="199" max="199" width="15.109375" style="426" customWidth="1"/>
    <col min="200" max="200" width="15.6640625" style="426" customWidth="1"/>
    <col min="201" max="201" width="11.5546875" style="426" customWidth="1"/>
    <col min="202" max="202" width="13.5546875" style="426" customWidth="1"/>
    <col min="203" max="203" width="17.33203125" style="426" customWidth="1"/>
    <col min="204" max="205" width="12.44140625" style="426" customWidth="1"/>
    <col min="206" max="206" width="18.6640625" style="426" customWidth="1"/>
    <col min="207" max="207" width="9.6640625" style="426" customWidth="1"/>
    <col min="208" max="208" width="20.6640625" style="426" customWidth="1"/>
    <col min="209" max="209" width="9.88671875" style="426" customWidth="1"/>
    <col min="210" max="210" width="12.5546875" style="426" customWidth="1"/>
    <col min="211" max="211" width="11.33203125" style="426" customWidth="1"/>
    <col min="212" max="212" width="8.6640625" style="426" customWidth="1"/>
    <col min="213" max="213" width="12.5546875" style="426" customWidth="1"/>
    <col min="214" max="214" width="11.33203125" style="426" customWidth="1"/>
    <col min="215" max="215" width="8.6640625" style="426" customWidth="1"/>
    <col min="216" max="216" width="13.33203125" style="426" customWidth="1"/>
    <col min="217" max="217" width="11.33203125" style="426" customWidth="1"/>
    <col min="218" max="218" width="8.6640625" style="426" customWidth="1"/>
    <col min="219" max="219" width="23.6640625" style="426" customWidth="1"/>
    <col min="220" max="222" width="11.6640625" style="426" customWidth="1"/>
    <col min="223" max="224" width="10.88671875" style="426" customWidth="1"/>
    <col min="225" max="225" width="12.33203125" style="426" customWidth="1"/>
    <col min="226" max="226" width="10.6640625" style="426" customWidth="1"/>
    <col min="227" max="227" width="10.5546875" style="426" customWidth="1"/>
    <col min="228" max="228" width="11.5546875" style="426" customWidth="1"/>
    <col min="229" max="229" width="9.6640625" style="426" customWidth="1"/>
    <col min="230" max="230" width="23.88671875" style="426" customWidth="1"/>
    <col min="231" max="231" width="9.33203125" style="426" customWidth="1"/>
    <col min="232" max="232" width="13.109375" style="426" customWidth="1"/>
    <col min="233" max="233" width="15.109375" style="426" customWidth="1"/>
    <col min="234" max="234" width="12.6640625" style="426" customWidth="1"/>
    <col min="235" max="235" width="11.88671875" style="426" customWidth="1"/>
    <col min="236" max="236" width="15.33203125" style="426" customWidth="1"/>
    <col min="237" max="237" width="12.6640625" style="426" customWidth="1"/>
    <col min="238" max="238" width="14.33203125" style="426" customWidth="1"/>
    <col min="239" max="239" width="14.88671875" style="426" customWidth="1"/>
    <col min="240" max="240" width="13.6640625" style="426" customWidth="1"/>
    <col min="241" max="241" width="13.33203125" style="426" customWidth="1"/>
    <col min="242" max="242" width="14.5546875" style="426" customWidth="1"/>
    <col min="243" max="243" width="16.33203125" style="426" customWidth="1"/>
    <col min="244" max="248" width="12.88671875" style="426" customWidth="1"/>
    <col min="249" max="249" width="11.33203125" style="426" customWidth="1"/>
    <col min="250" max="250" width="17.6640625" style="426" customWidth="1"/>
    <col min="251" max="251" width="12.44140625" style="426" customWidth="1"/>
    <col min="252" max="252" width="12.33203125" style="426" customWidth="1"/>
    <col min="253" max="255" width="8.6640625" style="426" customWidth="1"/>
    <col min="256" max="256" width="10.33203125" style="426" customWidth="1"/>
    <col min="257" max="257" width="8.6640625" style="426" customWidth="1"/>
    <col min="258" max="258" width="9.33203125" style="426" customWidth="1"/>
    <col min="259" max="261" width="8.6640625" style="426" customWidth="1"/>
    <col min="262" max="262" width="9.6640625" style="426" customWidth="1"/>
    <col min="263" max="263" width="8.6640625" style="426" customWidth="1"/>
    <col min="264" max="264" width="9.33203125" style="426" customWidth="1"/>
    <col min="265" max="267" width="8.6640625" style="426" customWidth="1"/>
    <col min="268" max="268" width="10.6640625" style="426" customWidth="1"/>
    <col min="269" max="269" width="8.6640625" style="426" customWidth="1"/>
    <col min="270" max="270" width="23.6640625" style="426" customWidth="1"/>
    <col min="271" max="271" width="11.44140625" style="426" customWidth="1"/>
    <col min="272" max="272" width="12" style="426" customWidth="1"/>
    <col min="273" max="277" width="11.6640625" style="426" customWidth="1"/>
    <col min="278" max="278" width="11.33203125" style="426" customWidth="1"/>
    <col min="279" max="279" width="11.109375" style="426" customWidth="1"/>
    <col min="280" max="282" width="11.6640625" style="426" customWidth="1"/>
    <col min="283" max="283" width="8.6640625" style="426" customWidth="1"/>
    <col min="284" max="284" width="23.6640625" style="426" customWidth="1"/>
    <col min="285" max="285" width="11.5546875" style="426" customWidth="1"/>
    <col min="286" max="286" width="11.6640625" style="426" customWidth="1"/>
    <col min="287" max="289" width="9.6640625" style="426" customWidth="1"/>
    <col min="290" max="290" width="23.44140625" style="426" customWidth="1"/>
    <col min="291" max="291" width="11" style="426" customWidth="1"/>
    <col min="292" max="292" width="17" style="426" customWidth="1"/>
    <col min="293" max="297" width="9.6640625" style="426" customWidth="1"/>
    <col min="298" max="298" width="9.33203125" style="426" customWidth="1"/>
    <col min="299" max="303" width="9.6640625" style="426" customWidth="1"/>
    <col min="304" max="304" width="9.33203125" style="426" customWidth="1"/>
    <col min="305" max="309" width="9.6640625" style="426" customWidth="1"/>
    <col min="310" max="310" width="24.33203125" style="426" customWidth="1"/>
    <col min="311" max="311" width="11.44140625" style="426" customWidth="1"/>
    <col min="312" max="312" width="17.33203125" style="160" customWidth="1"/>
    <col min="313" max="313" width="10.44140625" style="160" customWidth="1"/>
    <col min="314" max="314" width="10.5546875" style="160" customWidth="1"/>
    <col min="315" max="315" width="12.44140625" style="160" customWidth="1"/>
    <col min="316" max="316" width="10.44140625" style="160" customWidth="1"/>
    <col min="317" max="317" width="10.5546875" style="160" customWidth="1"/>
    <col min="318" max="318" width="12.44140625" style="160" customWidth="1"/>
    <col min="319" max="320" width="10.33203125" style="160" customWidth="1"/>
    <col min="321" max="321" width="24.33203125" style="426" customWidth="1"/>
    <col min="322" max="322" width="7.33203125" style="426" customWidth="1"/>
    <col min="323" max="323" width="18.88671875" style="426" customWidth="1"/>
    <col min="324" max="333" width="10.44140625" style="426" customWidth="1"/>
    <col min="334" max="334" width="7.33203125" style="426" customWidth="1"/>
    <col min="335" max="340" width="10.44140625" style="426" customWidth="1"/>
    <col min="341" max="341" width="23.44140625" style="426" customWidth="1"/>
    <col min="342" max="342" width="11.44140625" style="426" customWidth="1"/>
    <col min="343" max="343" width="16.6640625" style="426" customWidth="1"/>
    <col min="344" max="344" width="12.33203125" style="426" customWidth="1"/>
    <col min="345" max="345" width="13.109375" style="426" customWidth="1"/>
    <col min="346" max="347" width="10.6640625" style="426" customWidth="1"/>
    <col min="348" max="348" width="11.88671875" style="426" customWidth="1"/>
    <col min="349" max="349" width="12.109375" style="426" customWidth="1"/>
    <col min="350" max="351" width="12.88671875" style="426" customWidth="1"/>
    <col min="352" max="353" width="10.6640625" style="426" customWidth="1"/>
    <col min="354" max="354" width="11.6640625" style="426" customWidth="1"/>
    <col min="355" max="355" width="13.33203125" style="426" customWidth="1"/>
    <col min="356" max="357" width="12.6640625" style="426" customWidth="1"/>
    <col min="358" max="360" width="10.6640625" style="426" customWidth="1"/>
    <col min="361" max="361" width="25.6640625" style="426" customWidth="1"/>
    <col min="362" max="362" width="13" style="426" customWidth="1"/>
    <col min="363" max="363" width="10.33203125" style="426" customWidth="1"/>
    <col min="364" max="364" width="9.33203125" style="426" customWidth="1"/>
    <col min="365" max="365" width="9.6640625" style="426" customWidth="1"/>
    <col min="366" max="367" width="9.33203125" style="426" customWidth="1"/>
    <col min="368" max="368" width="9.6640625" style="426" customWidth="1"/>
    <col min="369" max="371" width="9.33203125" style="426" customWidth="1"/>
    <col min="372" max="372" width="24.33203125" style="426" customWidth="1"/>
    <col min="373" max="373" width="9.33203125" style="426" customWidth="1"/>
    <col min="374" max="374" width="14.109375" style="426" customWidth="1"/>
    <col min="375" max="375" width="12.44140625" style="426" customWidth="1"/>
    <col min="376" max="377" width="11" style="426" customWidth="1"/>
    <col min="378" max="379" width="8.6640625" style="426" customWidth="1"/>
    <col min="380" max="380" width="12" style="426" customWidth="1"/>
    <col min="381" max="382" width="11" style="426" customWidth="1"/>
    <col min="383" max="383" width="8.6640625" style="426" customWidth="1"/>
    <col min="384" max="384" width="23" style="426" customWidth="1"/>
    <col min="385" max="385" width="11.44140625" style="426" customWidth="1"/>
    <col min="386" max="386" width="6.6640625" style="426" customWidth="1"/>
    <col min="387" max="387" width="8.6640625" style="426" customWidth="1"/>
    <col min="388" max="388" width="14.109375" style="426" customWidth="1"/>
    <col min="389" max="391" width="8.6640625" style="426" customWidth="1"/>
    <col min="392" max="392" width="13.33203125" style="426" customWidth="1"/>
    <col min="393" max="393" width="8.6640625" style="426" customWidth="1"/>
    <col min="394" max="394" width="24.5546875" style="426" customWidth="1"/>
    <col min="395" max="395" width="11.44140625" style="426" customWidth="1"/>
    <col min="396" max="396" width="15.88671875" style="426" customWidth="1"/>
    <col min="397" max="409" width="8.6640625" style="426" customWidth="1"/>
    <col min="410" max="410" width="25" style="426" customWidth="1"/>
    <col min="411" max="411" width="13.109375" style="426" customWidth="1"/>
    <col min="412" max="412" width="8.33203125" style="426" customWidth="1"/>
    <col min="413" max="413" width="13.109375" style="426" customWidth="1"/>
    <col min="414" max="414" width="14.88671875" style="426" customWidth="1"/>
    <col min="415" max="415" width="11.33203125" style="426" customWidth="1"/>
    <col min="416" max="416" width="10.44140625" style="426" customWidth="1"/>
    <col min="417" max="417" width="13.6640625" style="426" customWidth="1"/>
    <col min="418" max="418" width="14.44140625" style="426" customWidth="1"/>
    <col min="419" max="419" width="9.6640625" style="426" customWidth="1"/>
    <col min="420" max="420" width="8.6640625" style="426" customWidth="1"/>
    <col min="421" max="421" width="13.5546875" style="426" customWidth="1"/>
    <col min="422" max="422" width="13.6640625" style="426" customWidth="1"/>
    <col min="423" max="423" width="8.6640625" style="426" customWidth="1"/>
    <col min="424" max="424" width="25.109375" style="426" customWidth="1"/>
    <col min="425" max="425" width="14.5546875" style="426" customWidth="1"/>
    <col min="426" max="426" width="11.33203125" style="426" customWidth="1"/>
    <col min="427" max="433" width="13.6640625" style="426" customWidth="1"/>
    <col min="434" max="434" width="26.109375" style="426" customWidth="1"/>
    <col min="435" max="437" width="13.6640625" style="426" customWidth="1"/>
    <col min="438" max="438" width="11.44140625" style="426" customWidth="1"/>
    <col min="439" max="441" width="11.44140625" style="65"/>
    <col min="442" max="442" width="26.109375" style="426" customWidth="1"/>
    <col min="443" max="445" width="13.6640625" style="426" customWidth="1"/>
    <col min="446" max="446" width="13.44140625" style="65" customWidth="1"/>
    <col min="447" max="447" width="14.6640625" style="426" customWidth="1"/>
    <col min="448" max="448" width="13.88671875" style="65" customWidth="1"/>
    <col min="449" max="16384" width="11.44140625" style="65"/>
  </cols>
  <sheetData>
    <row r="1" spans="1:448" ht="15.6">
      <c r="A1" s="138"/>
      <c r="B1" s="137"/>
      <c r="C1" s="55"/>
      <c r="D1" s="55"/>
      <c r="E1" s="55"/>
      <c r="F1" s="138"/>
      <c r="G1" s="55"/>
      <c r="H1" s="56"/>
      <c r="I1" s="55"/>
      <c r="J1" s="55"/>
      <c r="K1" s="138"/>
      <c r="L1" s="55"/>
      <c r="M1" s="55"/>
      <c r="N1" s="55"/>
      <c r="O1" s="55"/>
      <c r="P1" s="55"/>
      <c r="Q1" s="55"/>
      <c r="R1" s="55"/>
      <c r="S1" s="55"/>
      <c r="T1" s="55"/>
      <c r="U1" s="55"/>
      <c r="V1" s="55"/>
      <c r="W1" s="138"/>
      <c r="X1" s="55"/>
      <c r="Y1" s="56"/>
      <c r="Z1" s="56"/>
      <c r="AA1" s="56"/>
      <c r="AB1" s="56"/>
      <c r="AC1" s="55"/>
      <c r="AD1" s="55"/>
      <c r="AE1" s="55"/>
      <c r="AF1" s="55"/>
      <c r="AG1" s="55"/>
      <c r="AH1" s="55"/>
      <c r="AI1" s="55"/>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7"/>
      <c r="BO1" s="55"/>
      <c r="BP1" s="55"/>
      <c r="BQ1" s="55"/>
      <c r="BR1" s="55"/>
      <c r="BS1" s="55"/>
      <c r="BT1" s="55"/>
      <c r="BU1" s="55"/>
      <c r="BV1" s="55"/>
      <c r="BW1" s="55"/>
      <c r="BX1" s="55"/>
      <c r="BY1" s="55"/>
      <c r="BZ1" s="55"/>
      <c r="CA1" s="55"/>
      <c r="CB1" s="55"/>
      <c r="CC1" s="55"/>
      <c r="CD1" s="55"/>
      <c r="CE1" s="55"/>
      <c r="CF1" s="55"/>
      <c r="CG1" s="138"/>
      <c r="CH1" s="55"/>
      <c r="CI1" s="55"/>
      <c r="CJ1" s="55"/>
      <c r="CK1" s="55"/>
      <c r="CL1" s="55"/>
      <c r="CM1" s="55"/>
      <c r="CN1" s="55"/>
      <c r="CO1" s="55"/>
      <c r="CP1" s="55"/>
      <c r="CQ1" s="55"/>
      <c r="CR1" s="138"/>
      <c r="CT1" s="65"/>
      <c r="CU1" s="65"/>
      <c r="CV1" s="65"/>
      <c r="CW1" s="65"/>
      <c r="CX1" s="65"/>
      <c r="CY1" s="65"/>
      <c r="CZ1" s="65"/>
      <c r="DA1" s="65"/>
      <c r="DB1" s="65"/>
      <c r="DC1" s="65"/>
      <c r="DD1" s="65"/>
      <c r="DE1" s="65"/>
      <c r="DF1" s="138"/>
      <c r="DG1" s="821"/>
      <c r="DH1" s="822"/>
      <c r="DI1" s="822"/>
      <c r="DJ1" s="822"/>
      <c r="DK1" s="822"/>
      <c r="DL1" s="822"/>
      <c r="DM1" s="822"/>
      <c r="DN1" s="138"/>
      <c r="DO1" s="137"/>
      <c r="DP1" s="137"/>
      <c r="DQ1" s="137"/>
      <c r="DR1" s="137"/>
      <c r="DS1" s="137"/>
      <c r="DT1" s="138"/>
      <c r="DU1" s="137"/>
      <c r="DV1" s="137"/>
      <c r="DW1" s="137"/>
      <c r="DX1" s="137"/>
      <c r="DY1" s="138"/>
      <c r="DZ1" s="137"/>
      <c r="EA1" s="137"/>
      <c r="EB1" s="137"/>
      <c r="EC1" s="137"/>
      <c r="ED1" s="138"/>
      <c r="EE1" s="138"/>
      <c r="EF1" s="138"/>
      <c r="EG1" s="138"/>
      <c r="EH1" s="138"/>
      <c r="EI1" s="138"/>
      <c r="EJ1" s="138"/>
      <c r="EK1" s="138"/>
      <c r="EL1" s="138"/>
      <c r="EM1" s="138"/>
      <c r="EN1" s="138"/>
      <c r="EO1" s="138"/>
      <c r="EP1" s="138"/>
      <c r="EQ1" s="138"/>
      <c r="ER1" s="138"/>
      <c r="ES1" s="138"/>
      <c r="ET1" s="138"/>
      <c r="EU1" s="138"/>
      <c r="EV1" s="138"/>
      <c r="EW1" s="138"/>
      <c r="EX1" s="138"/>
      <c r="EY1" s="138"/>
      <c r="EZ1" s="138"/>
      <c r="FA1" s="138"/>
      <c r="FB1" s="138"/>
      <c r="FC1" s="138"/>
      <c r="FD1" s="138"/>
      <c r="FE1" s="138"/>
      <c r="FF1" s="138"/>
      <c r="FG1" s="138"/>
      <c r="FH1" s="138"/>
      <c r="FI1" s="138"/>
      <c r="FJ1" s="138"/>
      <c r="FK1" s="138"/>
      <c r="FL1" s="138"/>
      <c r="FM1" s="138"/>
      <c r="FN1" s="138"/>
      <c r="FO1" s="138"/>
      <c r="FP1" s="138"/>
      <c r="FQ1" s="138"/>
      <c r="FR1" s="138"/>
      <c r="FS1" s="138"/>
      <c r="FT1" s="138"/>
      <c r="FU1" s="138"/>
      <c r="FV1" s="138"/>
      <c r="FW1" s="138"/>
      <c r="FX1" s="138"/>
      <c r="FY1" s="138"/>
      <c r="FZ1" s="138"/>
      <c r="GA1" s="138"/>
      <c r="GB1" s="138"/>
      <c r="GC1" s="138"/>
      <c r="GD1" s="138"/>
      <c r="GE1" s="138"/>
      <c r="GF1" s="138"/>
      <c r="GG1" s="138"/>
      <c r="GH1" s="138"/>
      <c r="GI1" s="138"/>
      <c r="GJ1" s="138"/>
      <c r="GK1" s="55"/>
      <c r="GL1" s="55"/>
      <c r="GM1" s="55"/>
      <c r="GN1" s="55"/>
      <c r="GO1" s="138"/>
      <c r="GP1" s="55"/>
      <c r="GQ1" s="55"/>
      <c r="GR1" s="55"/>
      <c r="GS1" s="55"/>
      <c r="GT1" s="55"/>
      <c r="GU1" s="55"/>
      <c r="GV1" s="55"/>
      <c r="GW1" s="55"/>
      <c r="GX1" s="55"/>
      <c r="GY1" s="55"/>
      <c r="GZ1" s="138"/>
      <c r="HA1" s="55"/>
      <c r="HB1" s="55"/>
      <c r="HC1" s="55"/>
      <c r="HD1" s="55"/>
      <c r="HE1" s="55"/>
      <c r="HF1" s="55"/>
      <c r="HG1" s="55"/>
      <c r="HH1" s="55"/>
      <c r="HI1" s="55"/>
      <c r="HJ1" s="55"/>
      <c r="HK1" s="138"/>
      <c r="HL1" s="55"/>
      <c r="HM1" s="55"/>
      <c r="HN1" s="55"/>
      <c r="HO1" s="55"/>
      <c r="HP1" s="55"/>
      <c r="HQ1" s="55"/>
      <c r="HR1" s="55"/>
      <c r="HS1" s="55"/>
      <c r="HT1" s="55"/>
      <c r="HU1" s="55"/>
      <c r="HV1" s="55"/>
      <c r="HW1" s="1108"/>
      <c r="HX1" s="55"/>
      <c r="HY1" s="55"/>
      <c r="HZ1" s="55"/>
      <c r="IA1" s="55"/>
      <c r="IB1" s="55"/>
      <c r="IC1" s="55"/>
      <c r="ID1" s="55"/>
      <c r="IE1" s="55"/>
      <c r="IF1" s="55"/>
      <c r="IG1" s="55"/>
      <c r="IH1" s="55"/>
      <c r="II1" s="55"/>
      <c r="IJ1" s="55"/>
      <c r="IK1" s="55"/>
      <c r="IL1" s="55"/>
      <c r="IM1" s="55"/>
      <c r="IN1" s="55"/>
      <c r="IO1" s="55"/>
      <c r="IP1" s="55"/>
      <c r="IQ1" s="138"/>
      <c r="IR1" s="138"/>
      <c r="IS1" s="138"/>
      <c r="IT1" s="138"/>
      <c r="IU1" s="138"/>
      <c r="IV1" s="138"/>
      <c r="IW1" s="138"/>
      <c r="IX1" s="138"/>
      <c r="IY1" s="138"/>
      <c r="IZ1" s="138"/>
      <c r="JA1" s="138"/>
      <c r="JB1" s="138"/>
      <c r="JC1" s="138"/>
      <c r="JD1" s="138"/>
      <c r="JE1" s="138"/>
      <c r="JF1" s="138"/>
      <c r="JG1" s="138"/>
      <c r="JH1" s="138"/>
      <c r="JI1" s="138"/>
      <c r="JJ1" s="138"/>
      <c r="JK1" s="138"/>
      <c r="JL1" s="138"/>
      <c r="JM1" s="138"/>
      <c r="JN1" s="138"/>
      <c r="JO1" s="138"/>
      <c r="JP1" s="138"/>
      <c r="JQ1" s="138"/>
      <c r="JR1" s="138"/>
      <c r="JS1" s="138"/>
      <c r="JT1" s="138"/>
      <c r="JU1" s="138"/>
      <c r="JV1" s="138"/>
      <c r="JW1" s="138"/>
      <c r="JX1" s="138"/>
      <c r="JY1" s="138"/>
      <c r="JZ1" s="138"/>
      <c r="KA1" s="138"/>
      <c r="KB1" s="138"/>
      <c r="KC1" s="138"/>
      <c r="KD1" s="138"/>
      <c r="KE1" s="138"/>
      <c r="KF1" s="138"/>
      <c r="KG1" s="138"/>
      <c r="KH1" s="138"/>
      <c r="KI1" s="138"/>
      <c r="KJ1" s="138"/>
      <c r="KK1" s="138"/>
      <c r="KL1" s="138"/>
      <c r="KM1" s="138"/>
      <c r="KN1" s="138"/>
      <c r="KO1" s="138"/>
      <c r="KP1" s="138"/>
      <c r="KQ1" s="138"/>
      <c r="KR1" s="138"/>
      <c r="KS1" s="138"/>
      <c r="KT1" s="138"/>
      <c r="KU1" s="138"/>
      <c r="KV1" s="138"/>
      <c r="KW1" s="138"/>
      <c r="KX1" s="138"/>
      <c r="KY1" s="138"/>
      <c r="KZ1" s="138"/>
      <c r="LA1" s="138"/>
      <c r="LB1" s="138"/>
      <c r="LC1" s="138"/>
      <c r="LD1" s="138"/>
      <c r="LE1" s="138"/>
      <c r="LF1" s="138"/>
      <c r="LG1" s="138"/>
      <c r="LH1" s="138"/>
      <c r="LI1" s="137"/>
      <c r="LJ1" s="138"/>
      <c r="LK1" s="138"/>
      <c r="LL1" s="138"/>
      <c r="LM1" s="138"/>
      <c r="LN1" s="138"/>
      <c r="LO1" s="138"/>
      <c r="LP1" s="138"/>
      <c r="LQ1" s="138"/>
      <c r="LR1" s="138"/>
      <c r="LS1" s="138"/>
      <c r="LT1" s="138"/>
      <c r="LU1" s="138"/>
      <c r="LV1" s="138"/>
      <c r="LW1" s="138"/>
      <c r="LX1" s="138"/>
      <c r="LY1" s="138"/>
      <c r="LZ1" s="138"/>
      <c r="MA1" s="138"/>
      <c r="MB1" s="138"/>
      <c r="MC1" s="138"/>
      <c r="MD1" s="138"/>
      <c r="ME1" s="138"/>
      <c r="MF1" s="137"/>
      <c r="MG1" s="137"/>
      <c r="MH1" s="137"/>
      <c r="MI1" s="137"/>
      <c r="MJ1" s="137"/>
      <c r="MK1" s="137"/>
      <c r="ML1" s="137"/>
      <c r="MM1" s="137"/>
      <c r="MN1" s="137"/>
      <c r="MO1" s="137"/>
      <c r="MP1" s="137"/>
      <c r="MQ1" s="137"/>
      <c r="MR1" s="137"/>
      <c r="MS1" s="137"/>
      <c r="MT1" s="137"/>
      <c r="MU1" s="137"/>
      <c r="MV1" s="137"/>
      <c r="MW1" s="137"/>
      <c r="MX1" s="138"/>
      <c r="MY1" s="138"/>
      <c r="MZ1" s="138"/>
      <c r="NA1" s="138"/>
      <c r="NB1" s="138"/>
      <c r="NC1" s="138"/>
      <c r="ND1" s="138"/>
      <c r="NE1" s="138"/>
      <c r="NF1" s="138"/>
      <c r="NG1" s="138"/>
      <c r="NH1" s="138"/>
      <c r="NI1" s="138"/>
      <c r="NJ1" s="138"/>
      <c r="NK1" s="138"/>
      <c r="NL1" s="138"/>
      <c r="NM1" s="138"/>
      <c r="NN1" s="138"/>
      <c r="NO1" s="138"/>
      <c r="NP1" s="138"/>
      <c r="NQ1" s="138"/>
      <c r="NR1" s="138"/>
      <c r="NS1" s="138"/>
      <c r="NT1" s="138"/>
      <c r="NU1" s="138"/>
      <c r="NV1" s="138"/>
      <c r="NW1" s="138"/>
      <c r="NX1" s="138"/>
      <c r="NY1" s="138"/>
      <c r="NZ1" s="138"/>
      <c r="OA1" s="138"/>
      <c r="OB1" s="138"/>
      <c r="OC1" s="138"/>
      <c r="OD1" s="138"/>
      <c r="OE1" s="138"/>
      <c r="PI1" s="138"/>
      <c r="PJ1" s="137"/>
      <c r="PK1" s="137"/>
      <c r="PL1" s="137"/>
      <c r="PM1" s="137"/>
      <c r="PN1" s="137"/>
      <c r="PO1" s="137"/>
      <c r="PP1" s="137"/>
      <c r="PQ1" s="137"/>
      <c r="PR1" s="137"/>
      <c r="PS1" s="137"/>
      <c r="PT1" s="137"/>
      <c r="PU1" s="137"/>
      <c r="PV1" s="138"/>
      <c r="PZ1" s="137"/>
      <c r="QA1" s="137"/>
      <c r="QB1" s="137"/>
      <c r="QC1" s="137"/>
      <c r="QE1" s="138"/>
    </row>
    <row r="2" spans="1:448" ht="14.25" customHeight="1">
      <c r="A2" s="63"/>
      <c r="B2" s="63"/>
      <c r="C2" s="55"/>
      <c r="D2" s="55"/>
      <c r="E2" s="55"/>
      <c r="F2" s="63"/>
      <c r="G2" s="63"/>
      <c r="H2" s="63"/>
      <c r="I2" s="63"/>
      <c r="J2" s="63"/>
      <c r="K2" s="63"/>
      <c r="L2" s="55"/>
      <c r="M2" s="55"/>
      <c r="O2" s="55"/>
      <c r="P2" s="55"/>
      <c r="Q2" s="55"/>
      <c r="R2" s="55"/>
      <c r="S2" s="55"/>
      <c r="T2" s="55"/>
      <c r="U2" s="55"/>
      <c r="V2" s="55"/>
      <c r="W2" s="63"/>
      <c r="X2" s="55"/>
      <c r="Y2" s="56"/>
      <c r="Z2" s="56"/>
      <c r="AA2" s="56"/>
      <c r="AB2" s="56"/>
      <c r="AC2" s="55"/>
      <c r="AD2" s="55"/>
      <c r="AE2" s="55"/>
      <c r="AF2" s="55"/>
      <c r="AG2" s="55"/>
      <c r="AH2" s="55"/>
      <c r="AI2" s="55"/>
      <c r="AJ2" s="63"/>
      <c r="AM2" s="55"/>
      <c r="AV2" s="55"/>
      <c r="BD2" s="55"/>
      <c r="BL2" s="55"/>
      <c r="BM2" s="63"/>
      <c r="BN2" s="63"/>
      <c r="BO2" s="63"/>
      <c r="BP2" s="63"/>
      <c r="BQ2" s="63"/>
      <c r="BR2" s="63"/>
      <c r="BS2" s="63"/>
      <c r="BT2" s="63"/>
      <c r="BU2" s="63"/>
      <c r="BV2" s="63"/>
      <c r="BW2" s="63"/>
      <c r="BX2" s="63"/>
      <c r="BY2" s="63"/>
      <c r="BZ2" s="63"/>
      <c r="CA2" s="63"/>
      <c r="CB2" s="63"/>
      <c r="CC2" s="63"/>
      <c r="CD2" s="63"/>
      <c r="CE2" s="63"/>
      <c r="CF2" s="63"/>
      <c r="CG2" s="63"/>
      <c r="CH2" s="55"/>
      <c r="CI2" s="55"/>
      <c r="CJ2" s="55"/>
      <c r="CK2" s="55"/>
      <c r="CL2" s="55"/>
      <c r="CM2" s="55"/>
      <c r="CN2" s="55"/>
      <c r="CO2" s="55"/>
      <c r="CP2" s="55"/>
      <c r="CQ2" s="55"/>
      <c r="CR2" s="63"/>
      <c r="CT2" s="65"/>
      <c r="CU2" s="65"/>
      <c r="CV2" s="65"/>
      <c r="CW2" s="65"/>
      <c r="CX2" s="65"/>
      <c r="CY2" s="65"/>
      <c r="CZ2" s="65"/>
      <c r="DA2" s="65"/>
      <c r="DB2" s="65"/>
      <c r="DC2" s="65"/>
      <c r="DD2" s="65"/>
      <c r="DE2" s="65"/>
      <c r="DF2" s="63"/>
      <c r="DG2" s="823"/>
      <c r="DH2" s="824"/>
      <c r="DI2" s="824"/>
      <c r="DJ2" s="824"/>
      <c r="DK2" s="824"/>
      <c r="DL2" s="824"/>
      <c r="DM2" s="824"/>
      <c r="DO2" s="63"/>
      <c r="DP2" s="137"/>
      <c r="DQ2" s="137"/>
      <c r="DR2" s="137"/>
      <c r="DS2" s="137"/>
      <c r="DU2" s="63"/>
      <c r="DV2" s="137"/>
      <c r="DW2" s="137"/>
      <c r="DX2" s="137"/>
      <c r="DZ2" s="63"/>
      <c r="EA2" s="137"/>
      <c r="EB2" s="137"/>
      <c r="EC2" s="137"/>
      <c r="ED2" s="63"/>
      <c r="EE2" s="63"/>
      <c r="EF2" s="75"/>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55"/>
      <c r="GL2" s="55"/>
      <c r="GM2" s="55"/>
      <c r="GN2" s="55"/>
      <c r="GO2" s="63"/>
      <c r="GP2" s="63"/>
      <c r="GQ2" s="63"/>
      <c r="GR2" s="63"/>
      <c r="GS2" s="63"/>
      <c r="GT2" s="63"/>
      <c r="GU2" s="63"/>
      <c r="GV2" s="63"/>
      <c r="GW2" s="63"/>
      <c r="GX2" s="63"/>
      <c r="GY2" s="63"/>
      <c r="GZ2" s="63"/>
      <c r="HA2" s="63"/>
      <c r="HB2" s="63"/>
      <c r="HC2" s="63"/>
      <c r="HD2" s="63"/>
      <c r="HE2" s="63"/>
      <c r="HF2" s="63"/>
      <c r="HG2" s="63"/>
      <c r="HH2" s="63"/>
      <c r="HI2" s="63"/>
      <c r="HJ2" s="63"/>
      <c r="HK2" s="63"/>
      <c r="HL2" s="55"/>
      <c r="HM2" s="55"/>
      <c r="HN2" s="55"/>
      <c r="HO2" s="55"/>
      <c r="HP2" s="55"/>
      <c r="HQ2" s="55"/>
      <c r="HR2" s="55"/>
      <c r="HS2" s="55"/>
      <c r="HT2" s="55"/>
      <c r="HU2" s="55"/>
      <c r="HV2" s="55"/>
      <c r="HW2" s="97"/>
      <c r="HX2" s="63"/>
      <c r="HY2" s="63"/>
      <c r="HZ2" s="63"/>
      <c r="IA2" s="63"/>
      <c r="IB2" s="63"/>
      <c r="IC2" s="63"/>
      <c r="ID2" s="63"/>
      <c r="IE2" s="63"/>
      <c r="IF2" s="63"/>
      <c r="IG2" s="63"/>
      <c r="IH2" s="63"/>
      <c r="II2" s="63"/>
      <c r="IJ2" s="63"/>
      <c r="IK2" s="63"/>
      <c r="IL2" s="63"/>
      <c r="IM2" s="63"/>
      <c r="IN2" s="63"/>
      <c r="IO2" s="63"/>
      <c r="IP2" s="63"/>
      <c r="IQ2" s="63"/>
      <c r="IR2" s="63"/>
      <c r="IS2" s="63"/>
      <c r="IT2" s="63"/>
      <c r="IU2" s="63"/>
      <c r="IV2" s="63"/>
      <c r="IW2" s="63"/>
      <c r="IX2" s="63"/>
      <c r="IY2" s="63"/>
      <c r="IZ2" s="63"/>
      <c r="JA2" s="63"/>
      <c r="JB2" s="63"/>
      <c r="JC2" s="63"/>
      <c r="JD2" s="63"/>
      <c r="JE2" s="63"/>
      <c r="JF2" s="63"/>
      <c r="JG2" s="63"/>
      <c r="JH2" s="63"/>
      <c r="JI2" s="63"/>
      <c r="JJ2" s="63"/>
      <c r="JK2" s="63"/>
      <c r="JL2" s="63"/>
      <c r="JM2" s="63"/>
      <c r="JN2" s="63"/>
      <c r="JO2" s="63"/>
      <c r="JP2" s="63"/>
      <c r="JQ2" s="63"/>
      <c r="JR2" s="63"/>
      <c r="JS2" s="63"/>
      <c r="JT2" s="63"/>
      <c r="JU2" s="63"/>
      <c r="JV2" s="63"/>
      <c r="JW2" s="63"/>
      <c r="JX2" s="63"/>
      <c r="JY2" s="63"/>
      <c r="JZ2" s="63"/>
      <c r="KA2" s="63"/>
      <c r="KB2" s="63"/>
      <c r="KC2" s="63"/>
      <c r="KD2" s="63"/>
      <c r="KE2" s="63"/>
      <c r="KF2" s="63"/>
      <c r="KG2" s="63"/>
      <c r="KH2" s="63"/>
      <c r="KI2" s="63"/>
      <c r="KJ2" s="63"/>
      <c r="KK2" s="63"/>
      <c r="KL2" s="63"/>
      <c r="KM2" s="63"/>
      <c r="KN2" s="63"/>
      <c r="KO2" s="63"/>
      <c r="KP2" s="63"/>
      <c r="KQ2" s="63"/>
      <c r="KR2" s="63"/>
      <c r="KS2" s="63"/>
      <c r="KT2" s="63"/>
      <c r="KU2" s="63"/>
      <c r="KV2" s="63"/>
      <c r="KW2" s="63"/>
      <c r="KX2" s="63"/>
      <c r="KY2" s="63"/>
      <c r="KZ2" s="63"/>
      <c r="LA2" s="63"/>
      <c r="LB2" s="63"/>
      <c r="LC2" s="63"/>
      <c r="LD2" s="63"/>
      <c r="LE2" s="63"/>
      <c r="LF2" s="63"/>
      <c r="LG2" s="63"/>
      <c r="LH2" s="63"/>
      <c r="LI2" s="63"/>
      <c r="LJ2" s="63"/>
      <c r="LK2" s="63"/>
      <c r="LL2" s="63"/>
      <c r="LM2" s="63"/>
      <c r="LN2" s="63"/>
      <c r="LO2" s="63"/>
      <c r="LP2" s="63"/>
      <c r="LQ2" s="63"/>
      <c r="LR2" s="63"/>
      <c r="LS2" s="63"/>
      <c r="LT2" s="63"/>
      <c r="LU2" s="63"/>
      <c r="LV2" s="63"/>
      <c r="LW2" s="63"/>
      <c r="LX2" s="63"/>
      <c r="LY2" s="63"/>
      <c r="LZ2" s="63"/>
      <c r="MA2" s="63"/>
      <c r="MB2" s="63"/>
      <c r="MC2" s="63"/>
      <c r="MD2" s="63"/>
      <c r="ME2" s="63"/>
      <c r="MF2" s="63"/>
      <c r="MG2" s="63"/>
      <c r="MH2" s="63"/>
      <c r="MI2" s="63"/>
      <c r="MJ2" s="63"/>
      <c r="MK2" s="63"/>
      <c r="ML2" s="63"/>
      <c r="MM2" s="63"/>
      <c r="MN2" s="63"/>
      <c r="MO2" s="63"/>
      <c r="MP2" s="63"/>
      <c r="MQ2" s="63"/>
      <c r="MR2" s="63"/>
      <c r="MS2" s="63"/>
      <c r="MT2" s="63"/>
      <c r="MU2" s="63"/>
      <c r="MV2" s="63"/>
      <c r="MW2" s="63"/>
      <c r="MX2" s="63"/>
      <c r="MY2" s="63"/>
      <c r="MZ2" s="63"/>
      <c r="NA2" s="63"/>
      <c r="NB2" s="63"/>
      <c r="NC2" s="63"/>
      <c r="ND2" s="63"/>
      <c r="NE2" s="63"/>
      <c r="NF2" s="63"/>
      <c r="NG2" s="63"/>
      <c r="NH2" s="63"/>
      <c r="NI2" s="63"/>
      <c r="NJ2" s="63"/>
      <c r="NK2" s="63"/>
      <c r="NL2" s="63"/>
      <c r="NM2" s="63"/>
      <c r="NN2" s="63"/>
      <c r="NO2" s="63"/>
      <c r="NP2" s="63"/>
      <c r="NQ2" s="63"/>
      <c r="NR2" s="63"/>
      <c r="NS2" s="63"/>
      <c r="NT2" s="63"/>
      <c r="NU2" s="63"/>
      <c r="NV2" s="63"/>
      <c r="NW2" s="63"/>
      <c r="NX2" s="63"/>
      <c r="NY2" s="63"/>
      <c r="NZ2" s="63"/>
      <c r="OA2" s="63"/>
      <c r="OB2" s="63"/>
      <c r="OC2" s="63"/>
      <c r="OD2" s="63"/>
      <c r="OE2" s="63"/>
      <c r="OF2" s="63"/>
      <c r="OG2" s="63"/>
      <c r="OH2" s="63"/>
      <c r="OI2" s="63"/>
      <c r="OJ2" s="63"/>
      <c r="OK2" s="63"/>
      <c r="OL2" s="63"/>
      <c r="OM2" s="63"/>
      <c r="ON2" s="63"/>
      <c r="OO2" s="63"/>
      <c r="OP2" s="63"/>
      <c r="OQ2" s="63"/>
      <c r="OR2" s="63"/>
      <c r="OS2" s="63"/>
      <c r="OT2" s="63"/>
      <c r="OU2" s="63"/>
      <c r="OV2" s="63"/>
      <c r="OW2" s="63"/>
      <c r="OX2" s="63"/>
      <c r="OY2" s="63"/>
      <c r="OZ2" s="63"/>
      <c r="PA2" s="63"/>
      <c r="PB2" s="63"/>
      <c r="PC2" s="63"/>
      <c r="PD2" s="63"/>
      <c r="PE2" s="63"/>
      <c r="PF2" s="63"/>
      <c r="PG2" s="63"/>
      <c r="PH2" s="63"/>
      <c r="PI2" s="63"/>
      <c r="PJ2" s="63"/>
      <c r="PK2" s="63"/>
      <c r="PL2" s="63"/>
      <c r="PM2" s="63"/>
      <c r="PN2" s="63"/>
      <c r="PO2" s="63"/>
      <c r="PP2" s="63"/>
      <c r="PQ2" s="63"/>
      <c r="PR2" s="63"/>
      <c r="PS2" s="63"/>
      <c r="PT2" s="63"/>
      <c r="PU2" s="63"/>
      <c r="PV2" s="63"/>
      <c r="PZ2" s="63"/>
      <c r="QA2" s="63"/>
      <c r="QB2" s="63"/>
      <c r="QC2" s="63"/>
      <c r="QE2" s="63"/>
    </row>
    <row r="3" spans="1:448" ht="14.25" customHeight="1">
      <c r="A3" s="161"/>
      <c r="B3" s="1341" t="s">
        <v>329</v>
      </c>
      <c r="C3" s="1315" t="s">
        <v>327</v>
      </c>
      <c r="D3" s="1315"/>
      <c r="E3" s="1315"/>
      <c r="F3" s="161"/>
      <c r="G3" s="1341" t="s">
        <v>331</v>
      </c>
      <c r="H3" s="1316" t="s">
        <v>330</v>
      </c>
      <c r="I3" s="1316"/>
      <c r="J3" s="1316"/>
      <c r="K3" s="161"/>
      <c r="L3" s="1341" t="s">
        <v>622</v>
      </c>
      <c r="M3" s="1315" t="s">
        <v>688</v>
      </c>
      <c r="N3" s="1315"/>
      <c r="O3" s="1315"/>
      <c r="P3" s="1315"/>
      <c r="Q3" s="1315"/>
      <c r="R3" s="1315"/>
      <c r="S3" s="1315"/>
      <c r="T3" s="1315"/>
      <c r="U3" s="1315"/>
      <c r="V3" s="1315"/>
      <c r="W3" s="1315"/>
      <c r="X3" s="1341" t="s">
        <v>623</v>
      </c>
      <c r="Y3" s="1316" t="s">
        <v>328</v>
      </c>
      <c r="Z3" s="1345"/>
      <c r="AA3" s="1345"/>
      <c r="AB3" s="1345"/>
      <c r="AC3" s="1345"/>
      <c r="AD3" s="1345"/>
      <c r="AE3" s="1345"/>
      <c r="AF3" s="1345"/>
      <c r="AG3" s="1345"/>
      <c r="AH3" s="531"/>
      <c r="AI3" s="162"/>
      <c r="AJ3" s="161"/>
      <c r="AK3" s="162"/>
      <c r="AL3" s="161"/>
      <c r="AM3" s="161"/>
      <c r="AN3" s="1341" t="s">
        <v>624</v>
      </c>
      <c r="AO3" s="1315" t="s">
        <v>356</v>
      </c>
      <c r="AP3" s="1315"/>
      <c r="AQ3" s="1315"/>
      <c r="AR3" s="1315"/>
      <c r="AS3" s="1315"/>
      <c r="AT3" s="1315"/>
      <c r="AU3" s="1315"/>
      <c r="AV3" s="1315"/>
      <c r="AW3" s="1315"/>
      <c r="AX3" s="1315"/>
      <c r="AY3" s="1315"/>
      <c r="AZ3" s="1315"/>
      <c r="BA3" s="1315"/>
      <c r="BB3" s="1315"/>
      <c r="BC3" s="1315"/>
      <c r="BD3" s="1315"/>
      <c r="BE3" s="1315"/>
      <c r="BF3" s="1315"/>
      <c r="BG3" s="1315"/>
      <c r="BH3" s="1315"/>
      <c r="BI3" s="1315"/>
      <c r="BJ3" s="1315"/>
      <c r="BK3" s="1315"/>
      <c r="BL3" s="1315"/>
      <c r="BM3" s="532"/>
      <c r="BN3" s="1343" t="s">
        <v>368</v>
      </c>
      <c r="BO3" s="1327" t="s">
        <v>365</v>
      </c>
      <c r="BP3" s="1327"/>
      <c r="BQ3" s="1327"/>
      <c r="BR3" s="1327"/>
      <c r="BS3" s="1327"/>
      <c r="BT3" s="1327"/>
      <c r="BU3" s="1327"/>
      <c r="BV3" s="1327"/>
      <c r="BW3" s="1327"/>
      <c r="BX3" s="1327"/>
      <c r="BY3" s="1327"/>
      <c r="BZ3" s="1327"/>
      <c r="CA3" s="1327"/>
      <c r="CB3" s="1327"/>
      <c r="CC3" s="1327"/>
      <c r="CD3" s="1327"/>
      <c r="CE3" s="1327"/>
      <c r="CF3" s="1327"/>
      <c r="CG3" s="161"/>
      <c r="CH3" s="1343" t="s">
        <v>367</v>
      </c>
      <c r="CI3" s="1327" t="s">
        <v>366</v>
      </c>
      <c r="CJ3" s="1327"/>
      <c r="CK3" s="1327"/>
      <c r="CL3" s="1327"/>
      <c r="CM3" s="1327"/>
      <c r="CN3" s="1327"/>
      <c r="CO3" s="1327"/>
      <c r="CP3" s="1327"/>
      <c r="CQ3" s="1327"/>
      <c r="CR3" s="161"/>
      <c r="CS3" s="1343" t="s">
        <v>380</v>
      </c>
      <c r="CT3" s="1327" t="s">
        <v>381</v>
      </c>
      <c r="CU3" s="1327"/>
      <c r="CV3" s="1327"/>
      <c r="CW3" s="1327"/>
      <c r="CX3" s="1327"/>
      <c r="CY3" s="1327"/>
      <c r="CZ3" s="1327"/>
      <c r="DA3" s="1327"/>
      <c r="DB3" s="1327"/>
      <c r="DC3" s="1327"/>
      <c r="DD3" s="1327"/>
      <c r="DE3" s="1327"/>
      <c r="DF3" s="163"/>
      <c r="DG3" s="1238" t="s">
        <v>625</v>
      </c>
      <c r="DH3" s="1324" t="str">
        <f>CONCATENATE("REVENUS DES FOYERS FISCAUX EN"," ",'Aides traitements'!$I$11,)</f>
        <v>REVENUS DES FOYERS FISCAUX EN 2020</v>
      </c>
      <c r="DI3" s="1325"/>
      <c r="DJ3" s="1325"/>
      <c r="DK3" s="1325"/>
      <c r="DL3" s="1325"/>
      <c r="DM3" s="1325"/>
      <c r="DN3" s="531"/>
      <c r="DO3" s="1265" t="s">
        <v>339</v>
      </c>
      <c r="DP3" s="1273" t="s">
        <v>411</v>
      </c>
      <c r="DQ3" s="1274"/>
      <c r="DR3" s="1274"/>
      <c r="DS3" s="724"/>
      <c r="DT3" s="1265" t="s">
        <v>354</v>
      </c>
      <c r="DU3" s="1263" t="s">
        <v>412</v>
      </c>
      <c r="DV3" s="1264"/>
      <c r="DW3" s="1264"/>
      <c r="DY3" s="1265" t="s">
        <v>370</v>
      </c>
      <c r="DZ3" s="1273" t="s">
        <v>338</v>
      </c>
      <c r="EA3" s="1274"/>
      <c r="EB3" s="1274"/>
      <c r="EE3" s="1265" t="s">
        <v>413</v>
      </c>
      <c r="EF3" s="1263" t="s">
        <v>371</v>
      </c>
      <c r="EG3" s="1264"/>
      <c r="EH3" s="1264"/>
      <c r="EI3" s="1264"/>
      <c r="EJ3" s="1264"/>
      <c r="EK3" s="1264"/>
      <c r="EL3" s="1264"/>
      <c r="EM3" s="1264"/>
      <c r="EN3" s="1264"/>
      <c r="EO3" s="1264"/>
      <c r="EP3" s="1264"/>
      <c r="EQ3" s="1264"/>
      <c r="ER3" s="1264"/>
      <c r="ES3" s="1264"/>
      <c r="ET3" s="1264"/>
      <c r="EV3" s="1265" t="s">
        <v>414</v>
      </c>
      <c r="EW3" s="1263" t="s">
        <v>423</v>
      </c>
      <c r="EX3" s="1264"/>
      <c r="EY3" s="1264"/>
      <c r="EZ3" s="1264"/>
      <c r="FA3" s="1264"/>
      <c r="FB3" s="1264"/>
      <c r="FC3" s="1264"/>
      <c r="FD3" s="1264"/>
      <c r="FE3" s="1264"/>
      <c r="FF3" s="1264"/>
      <c r="FG3" s="1264"/>
      <c r="FH3" s="1264"/>
      <c r="FI3" s="1264"/>
      <c r="FJ3" s="1264"/>
      <c r="FK3" s="1264"/>
      <c r="FL3" s="1264"/>
      <c r="FM3" s="1264"/>
      <c r="FN3" s="1264"/>
      <c r="FO3" s="1264"/>
      <c r="FP3" s="1264"/>
      <c r="FQ3" s="1264"/>
      <c r="FR3" s="1264"/>
      <c r="FS3" s="1264"/>
      <c r="FT3" s="1264"/>
      <c r="FV3" s="1265" t="s">
        <v>422</v>
      </c>
      <c r="FW3" s="1273" t="s">
        <v>424</v>
      </c>
      <c r="FX3" s="1274"/>
      <c r="FY3" s="1274"/>
      <c r="FZ3" s="1274"/>
      <c r="GA3" s="1274"/>
      <c r="GB3" s="1274"/>
      <c r="GC3" s="1274"/>
      <c r="GD3" s="1274"/>
      <c r="GE3" s="1274"/>
      <c r="GF3" s="1274"/>
      <c r="GG3" s="1274"/>
      <c r="GH3" s="1274"/>
      <c r="GJ3" s="1271" t="s">
        <v>341</v>
      </c>
      <c r="GK3" s="1297" t="s">
        <v>340</v>
      </c>
      <c r="GL3" s="1264"/>
      <c r="GM3" s="1264"/>
      <c r="GN3" s="766"/>
      <c r="GO3" s="1271" t="s">
        <v>342</v>
      </c>
      <c r="GP3" s="1298" t="s">
        <v>357</v>
      </c>
      <c r="GQ3" s="1274"/>
      <c r="GR3" s="1274"/>
      <c r="GS3" s="1274"/>
      <c r="GT3" s="1274"/>
      <c r="GU3" s="1274"/>
      <c r="GV3" s="1274"/>
      <c r="GW3" s="1274"/>
      <c r="GX3" s="1274"/>
      <c r="GZ3" s="1271" t="s">
        <v>347</v>
      </c>
      <c r="HA3" s="1291" t="s">
        <v>348</v>
      </c>
      <c r="HB3" s="1274"/>
      <c r="HC3" s="1274"/>
      <c r="HD3" s="1274"/>
      <c r="HE3" s="1274"/>
      <c r="HF3" s="1274"/>
      <c r="HG3" s="1274"/>
      <c r="HH3" s="1274"/>
      <c r="HI3" s="1274"/>
      <c r="HK3" s="1271" t="s">
        <v>346</v>
      </c>
      <c r="HL3" s="1291" t="s">
        <v>345</v>
      </c>
      <c r="HM3" s="1291"/>
      <c r="HN3" s="1291"/>
      <c r="HO3" s="1274"/>
      <c r="HP3" s="1274"/>
      <c r="HQ3" s="1274"/>
      <c r="HR3" s="1274"/>
      <c r="HS3" s="1274"/>
      <c r="HT3" s="1274"/>
      <c r="HU3" s="769"/>
      <c r="HV3" s="1271" t="s">
        <v>350</v>
      </c>
      <c r="HW3" s="1291" t="s">
        <v>372</v>
      </c>
      <c r="HX3" s="1291"/>
      <c r="HY3" s="1291"/>
      <c r="HZ3" s="1291"/>
      <c r="IA3" s="1291"/>
      <c r="IB3" s="1291"/>
      <c r="IC3" s="1291"/>
      <c r="ID3" s="1291"/>
      <c r="IE3" s="1291"/>
      <c r="IF3" s="1291"/>
      <c r="IG3" s="1291"/>
      <c r="IH3" s="1291"/>
      <c r="II3" s="1291"/>
      <c r="IJ3" s="1291"/>
      <c r="IK3" s="1291"/>
      <c r="IL3" s="1291"/>
      <c r="IM3" s="1291"/>
      <c r="IN3" s="1291"/>
      <c r="IP3" s="1271" t="s">
        <v>637</v>
      </c>
      <c r="IQ3" s="1297" t="s">
        <v>349</v>
      </c>
      <c r="IR3" s="1297"/>
      <c r="IS3" s="1297"/>
      <c r="IT3" s="1297"/>
      <c r="IU3" s="1297"/>
      <c r="IV3" s="1297"/>
      <c r="IW3" s="1297"/>
      <c r="IX3" s="1297"/>
      <c r="IY3" s="1297"/>
      <c r="IZ3" s="1297"/>
      <c r="JA3" s="1297"/>
      <c r="JB3" s="1297"/>
      <c r="JC3" s="1297"/>
      <c r="JD3" s="1297"/>
      <c r="JE3" s="1297"/>
      <c r="JF3" s="1297"/>
      <c r="JG3" s="1297"/>
      <c r="JH3" s="1297"/>
      <c r="JJ3" s="1271" t="s">
        <v>352</v>
      </c>
      <c r="JK3" s="1297" t="s">
        <v>351</v>
      </c>
      <c r="JL3" s="1297"/>
      <c r="JM3" s="1297"/>
      <c r="JN3" s="1297"/>
      <c r="JO3" s="1297"/>
      <c r="JP3" s="1297"/>
      <c r="JQ3" s="1297"/>
      <c r="JR3" s="1297"/>
      <c r="JS3" s="1297"/>
      <c r="JT3" s="1297"/>
      <c r="JU3" s="1297"/>
      <c r="JV3" s="1297"/>
      <c r="JX3" s="1271" t="s">
        <v>373</v>
      </c>
      <c r="JY3" s="1298" t="s">
        <v>638</v>
      </c>
      <c r="JZ3" s="1298"/>
      <c r="KA3" s="1298"/>
      <c r="KB3" s="1298"/>
      <c r="KD3" s="1271" t="s">
        <v>379</v>
      </c>
      <c r="KE3" s="1297" t="s">
        <v>378</v>
      </c>
      <c r="KF3" s="1297"/>
      <c r="KG3" s="1297"/>
      <c r="KH3" s="1297"/>
      <c r="KI3" s="1297"/>
      <c r="KJ3" s="1297"/>
      <c r="KK3" s="1297"/>
      <c r="KL3" s="1297"/>
      <c r="KM3" s="1297"/>
      <c r="KN3" s="1297"/>
      <c r="KO3" s="1297"/>
      <c r="KP3" s="1297"/>
      <c r="KQ3" s="1297"/>
      <c r="KR3" s="1297"/>
      <c r="KS3" s="1297"/>
      <c r="KT3" s="1297"/>
      <c r="KU3" s="1297"/>
      <c r="KV3" s="1297"/>
      <c r="KX3" s="1271" t="s">
        <v>430</v>
      </c>
      <c r="KY3" s="1299" t="s">
        <v>441</v>
      </c>
      <c r="KZ3" s="1299"/>
      <c r="LA3" s="1299"/>
      <c r="LB3" s="1299"/>
      <c r="LC3" s="1299"/>
      <c r="LD3" s="1299"/>
      <c r="LE3" s="1299"/>
      <c r="LF3" s="1299"/>
      <c r="LG3" s="1299"/>
      <c r="LI3" s="1269" t="s">
        <v>242</v>
      </c>
      <c r="LJ3" s="1310" t="s">
        <v>369</v>
      </c>
      <c r="LK3" s="1310"/>
      <c r="LL3" s="1310"/>
      <c r="LM3" s="1310"/>
      <c r="LN3" s="1310"/>
      <c r="LO3" s="1310"/>
      <c r="LP3" s="1310"/>
      <c r="LQ3" s="1310"/>
      <c r="LR3" s="1310"/>
      <c r="LS3" s="1310"/>
      <c r="LT3" s="1310"/>
      <c r="LU3" s="1310"/>
      <c r="LV3" s="1310"/>
      <c r="LW3" s="1310"/>
      <c r="LX3" s="1310"/>
      <c r="LY3" s="1310"/>
      <c r="LZ3" s="1310"/>
      <c r="MA3" s="1310"/>
      <c r="MC3" s="1269" t="s">
        <v>640</v>
      </c>
      <c r="MD3" s="1276" t="s">
        <v>450</v>
      </c>
      <c r="ME3" s="1276"/>
      <c r="MF3" s="1276"/>
      <c r="MG3" s="1276"/>
      <c r="MH3" s="1276"/>
      <c r="MI3" s="1276"/>
      <c r="MJ3" s="1276"/>
      <c r="MK3" s="1276"/>
      <c r="ML3" s="1276"/>
      <c r="MM3" s="1276"/>
      <c r="MN3" s="1276"/>
      <c r="MO3" s="1276"/>
      <c r="MP3" s="1276"/>
      <c r="MQ3" s="1276"/>
      <c r="MR3" s="1276"/>
      <c r="MS3" s="1276"/>
      <c r="MT3" s="1276"/>
      <c r="MU3" s="1276"/>
      <c r="MW3" s="1269" t="s">
        <v>448</v>
      </c>
      <c r="MX3" s="1310" t="s">
        <v>451</v>
      </c>
      <c r="MY3" s="1310"/>
      <c r="MZ3" s="1310"/>
      <c r="NA3" s="1310"/>
      <c r="NB3" s="1310"/>
      <c r="NC3" s="1310"/>
      <c r="ND3" s="1310"/>
      <c r="NE3" s="1310"/>
      <c r="NF3" s="1310"/>
      <c r="NH3" s="1269" t="s">
        <v>449</v>
      </c>
      <c r="NI3" s="1310" t="s">
        <v>452</v>
      </c>
      <c r="NJ3" s="1310"/>
      <c r="NK3" s="1310"/>
      <c r="NL3" s="1310"/>
      <c r="NM3" s="1310"/>
      <c r="NN3" s="1310"/>
      <c r="NO3" s="1310"/>
      <c r="NP3" s="1310"/>
      <c r="NQ3" s="1310"/>
      <c r="NR3" s="1310"/>
      <c r="NT3" s="1269" t="s">
        <v>641</v>
      </c>
      <c r="NU3" s="1362" t="s">
        <v>453</v>
      </c>
      <c r="NV3" s="1362"/>
      <c r="NW3" s="1362"/>
      <c r="NX3" s="1362"/>
      <c r="NY3" s="1362"/>
      <c r="NZ3" s="1362"/>
      <c r="OA3" s="1362"/>
      <c r="OB3" s="1362"/>
      <c r="OD3" s="1373" t="s">
        <v>431</v>
      </c>
      <c r="OE3" s="1366" t="s">
        <v>433</v>
      </c>
      <c r="OF3" s="1366"/>
      <c r="OG3" s="1366"/>
      <c r="OH3" s="1366"/>
      <c r="OI3" s="1366"/>
      <c r="OJ3" s="1366"/>
      <c r="OK3" s="1366"/>
      <c r="OL3" s="1366"/>
      <c r="OM3" s="1366"/>
      <c r="ON3" s="1366"/>
      <c r="OO3" s="1366"/>
      <c r="OP3" s="1366"/>
      <c r="OQ3" s="1366"/>
      <c r="OR3" s="1366"/>
      <c r="OT3" s="1373" t="s">
        <v>436</v>
      </c>
      <c r="OU3" s="1366" t="s">
        <v>435</v>
      </c>
      <c r="OV3" s="1366"/>
      <c r="OW3" s="1366"/>
      <c r="OX3" s="1366"/>
      <c r="OY3" s="1366"/>
      <c r="OZ3" s="1366"/>
      <c r="PA3" s="1366"/>
      <c r="PB3" s="1366"/>
      <c r="PC3" s="1366"/>
      <c r="PD3" s="1366"/>
      <c r="PE3" s="1366"/>
      <c r="PF3" s="1366"/>
      <c r="PH3" s="1373" t="s">
        <v>437</v>
      </c>
      <c r="PI3" s="1350" t="s">
        <v>440</v>
      </c>
      <c r="PJ3" s="1350"/>
      <c r="PK3" s="1350"/>
      <c r="PL3" s="1350"/>
      <c r="PM3" s="1350"/>
      <c r="PN3" s="1350"/>
      <c r="PO3" s="1350"/>
      <c r="PP3" s="1350"/>
      <c r="PR3" s="1233" t="s">
        <v>683</v>
      </c>
      <c r="PS3" s="1235" t="s">
        <v>684</v>
      </c>
      <c r="PT3" s="1235"/>
      <c r="PU3" s="1235"/>
      <c r="PV3" s="1235"/>
      <c r="PW3" s="1235"/>
      <c r="PX3" s="1178"/>
      <c r="PZ3" s="1233" t="s">
        <v>694</v>
      </c>
      <c r="QA3" s="1235" t="s">
        <v>716</v>
      </c>
      <c r="QB3" s="1235"/>
      <c r="QC3" s="1235"/>
      <c r="QD3" s="1235"/>
      <c r="QE3" s="1235"/>
      <c r="QF3" s="1235"/>
    </row>
    <row r="4" spans="1:448" ht="33" customHeight="1">
      <c r="A4" s="161"/>
      <c r="B4" s="1342"/>
      <c r="C4" s="1315"/>
      <c r="D4" s="1315"/>
      <c r="E4" s="1315"/>
      <c r="F4" s="161"/>
      <c r="G4" s="1342"/>
      <c r="H4" s="1316"/>
      <c r="I4" s="1316"/>
      <c r="J4" s="1316"/>
      <c r="K4" s="161"/>
      <c r="L4" s="1342"/>
      <c r="M4" s="1315"/>
      <c r="N4" s="1315"/>
      <c r="O4" s="1315"/>
      <c r="P4" s="1315"/>
      <c r="Q4" s="1315"/>
      <c r="R4" s="1315"/>
      <c r="S4" s="1315"/>
      <c r="T4" s="1315"/>
      <c r="U4" s="1315"/>
      <c r="V4" s="1315"/>
      <c r="W4" s="1315"/>
      <c r="X4" s="1342"/>
      <c r="Y4" s="1345"/>
      <c r="Z4" s="1345"/>
      <c r="AA4" s="1345"/>
      <c r="AB4" s="1345"/>
      <c r="AC4" s="1345"/>
      <c r="AD4" s="1345"/>
      <c r="AE4" s="1345"/>
      <c r="AF4" s="1345"/>
      <c r="AG4" s="1345"/>
      <c r="AH4" s="531"/>
      <c r="AI4" s="162"/>
      <c r="AJ4" s="161"/>
      <c r="AK4" s="162"/>
      <c r="AL4" s="531"/>
      <c r="AM4" s="162"/>
      <c r="AN4" s="1342"/>
      <c r="AO4" s="1315"/>
      <c r="AP4" s="1315"/>
      <c r="AQ4" s="1315"/>
      <c r="AR4" s="1315"/>
      <c r="AS4" s="1315"/>
      <c r="AT4" s="1315"/>
      <c r="AU4" s="1315"/>
      <c r="AV4" s="1315"/>
      <c r="AW4" s="1315"/>
      <c r="AX4" s="1315"/>
      <c r="AY4" s="1315"/>
      <c r="AZ4" s="1315"/>
      <c r="BA4" s="1315"/>
      <c r="BB4" s="1315"/>
      <c r="BC4" s="1315"/>
      <c r="BD4" s="1315"/>
      <c r="BE4" s="1315"/>
      <c r="BF4" s="1315"/>
      <c r="BG4" s="1315"/>
      <c r="BH4" s="1315"/>
      <c r="BI4" s="1315"/>
      <c r="BJ4" s="1315"/>
      <c r="BK4" s="1315"/>
      <c r="BL4" s="1315"/>
      <c r="BM4" s="532"/>
      <c r="BN4" s="1344"/>
      <c r="BO4" s="1327"/>
      <c r="BP4" s="1327"/>
      <c r="BQ4" s="1327"/>
      <c r="BR4" s="1327"/>
      <c r="BS4" s="1327"/>
      <c r="BT4" s="1327"/>
      <c r="BU4" s="1327"/>
      <c r="BV4" s="1327"/>
      <c r="BW4" s="1327"/>
      <c r="BX4" s="1327"/>
      <c r="BY4" s="1327"/>
      <c r="BZ4" s="1327"/>
      <c r="CA4" s="1327"/>
      <c r="CB4" s="1327"/>
      <c r="CC4" s="1327"/>
      <c r="CD4" s="1327"/>
      <c r="CE4" s="1327"/>
      <c r="CF4" s="1327"/>
      <c r="CG4" s="161"/>
      <c r="CH4" s="1344"/>
      <c r="CI4" s="1327"/>
      <c r="CJ4" s="1327"/>
      <c r="CK4" s="1327"/>
      <c r="CL4" s="1327"/>
      <c r="CM4" s="1327"/>
      <c r="CN4" s="1327"/>
      <c r="CO4" s="1327"/>
      <c r="CP4" s="1327"/>
      <c r="CQ4" s="1327"/>
      <c r="CR4" s="161"/>
      <c r="CS4" s="1344"/>
      <c r="CT4" s="1327"/>
      <c r="CU4" s="1327"/>
      <c r="CV4" s="1327"/>
      <c r="CW4" s="1327"/>
      <c r="CX4" s="1327"/>
      <c r="CY4" s="1327"/>
      <c r="CZ4" s="1327"/>
      <c r="DA4" s="1327"/>
      <c r="DB4" s="1327"/>
      <c r="DC4" s="1327"/>
      <c r="DD4" s="1327"/>
      <c r="DE4" s="1327"/>
      <c r="DF4" s="535"/>
      <c r="DG4" s="1239"/>
      <c r="DH4" s="1325"/>
      <c r="DI4" s="1325"/>
      <c r="DJ4" s="1325"/>
      <c r="DK4" s="1325"/>
      <c r="DL4" s="1325"/>
      <c r="DM4" s="1325"/>
      <c r="DN4" s="531"/>
      <c r="DO4" s="1266"/>
      <c r="DP4" s="1274"/>
      <c r="DQ4" s="1274"/>
      <c r="DR4" s="1274"/>
      <c r="DS4" s="724"/>
      <c r="DT4" s="1266"/>
      <c r="DU4" s="1264"/>
      <c r="DV4" s="1264"/>
      <c r="DW4" s="1264"/>
      <c r="DY4" s="1275"/>
      <c r="DZ4" s="1274"/>
      <c r="EA4" s="1274"/>
      <c r="EB4" s="1274"/>
      <c r="EE4" s="1266"/>
      <c r="EF4" s="1264"/>
      <c r="EG4" s="1264"/>
      <c r="EH4" s="1264"/>
      <c r="EI4" s="1264"/>
      <c r="EJ4" s="1264"/>
      <c r="EK4" s="1264"/>
      <c r="EL4" s="1264"/>
      <c r="EM4" s="1264"/>
      <c r="EN4" s="1264"/>
      <c r="EO4" s="1264"/>
      <c r="EP4" s="1264"/>
      <c r="EQ4" s="1264"/>
      <c r="ER4" s="1264"/>
      <c r="ES4" s="1264"/>
      <c r="ET4" s="1264"/>
      <c r="EV4" s="1275"/>
      <c r="EW4" s="1264"/>
      <c r="EX4" s="1264"/>
      <c r="EY4" s="1264"/>
      <c r="EZ4" s="1264"/>
      <c r="FA4" s="1264"/>
      <c r="FB4" s="1264"/>
      <c r="FC4" s="1264"/>
      <c r="FD4" s="1264"/>
      <c r="FE4" s="1264"/>
      <c r="FF4" s="1264"/>
      <c r="FG4" s="1264"/>
      <c r="FH4" s="1264"/>
      <c r="FI4" s="1264"/>
      <c r="FJ4" s="1264"/>
      <c r="FK4" s="1264"/>
      <c r="FL4" s="1264"/>
      <c r="FM4" s="1264"/>
      <c r="FN4" s="1264"/>
      <c r="FO4" s="1264"/>
      <c r="FP4" s="1264"/>
      <c r="FQ4" s="1264"/>
      <c r="FR4" s="1264"/>
      <c r="FS4" s="1264"/>
      <c r="FT4" s="1264"/>
      <c r="FV4" s="1266"/>
      <c r="FW4" s="1274"/>
      <c r="FX4" s="1274"/>
      <c r="FY4" s="1274"/>
      <c r="FZ4" s="1274"/>
      <c r="GA4" s="1274"/>
      <c r="GB4" s="1274"/>
      <c r="GC4" s="1274"/>
      <c r="GD4" s="1274"/>
      <c r="GE4" s="1274"/>
      <c r="GF4" s="1274"/>
      <c r="GG4" s="1274"/>
      <c r="GH4" s="1274"/>
      <c r="GJ4" s="1272"/>
      <c r="GK4" s="1264"/>
      <c r="GL4" s="1264"/>
      <c r="GM4" s="1264"/>
      <c r="GN4" s="766"/>
      <c r="GO4" s="1309"/>
      <c r="GP4" s="1274"/>
      <c r="GQ4" s="1274"/>
      <c r="GR4" s="1274"/>
      <c r="GS4" s="1274"/>
      <c r="GT4" s="1274"/>
      <c r="GU4" s="1274"/>
      <c r="GV4" s="1274"/>
      <c r="GW4" s="1274"/>
      <c r="GX4" s="1274"/>
      <c r="GZ4" s="1272"/>
      <c r="HA4" s="1274"/>
      <c r="HB4" s="1274"/>
      <c r="HC4" s="1274"/>
      <c r="HD4" s="1274"/>
      <c r="HE4" s="1274"/>
      <c r="HF4" s="1274"/>
      <c r="HG4" s="1274"/>
      <c r="HH4" s="1274"/>
      <c r="HI4" s="1274"/>
      <c r="HK4" s="1309"/>
      <c r="HL4" s="1274"/>
      <c r="HM4" s="1274"/>
      <c r="HN4" s="1274"/>
      <c r="HO4" s="1274"/>
      <c r="HP4" s="1274"/>
      <c r="HQ4" s="1274"/>
      <c r="HR4" s="1274"/>
      <c r="HS4" s="1274"/>
      <c r="HT4" s="1274"/>
      <c r="HU4" s="769"/>
      <c r="HV4" s="1309"/>
      <c r="HW4" s="1291"/>
      <c r="HX4" s="1291"/>
      <c r="HY4" s="1291"/>
      <c r="HZ4" s="1291"/>
      <c r="IA4" s="1291"/>
      <c r="IB4" s="1291"/>
      <c r="IC4" s="1291"/>
      <c r="ID4" s="1291"/>
      <c r="IE4" s="1291"/>
      <c r="IF4" s="1291"/>
      <c r="IG4" s="1291"/>
      <c r="IH4" s="1291"/>
      <c r="II4" s="1291"/>
      <c r="IJ4" s="1291"/>
      <c r="IK4" s="1291"/>
      <c r="IL4" s="1291"/>
      <c r="IM4" s="1291"/>
      <c r="IN4" s="1291"/>
      <c r="IP4" s="1272"/>
      <c r="IQ4" s="1297"/>
      <c r="IR4" s="1297"/>
      <c r="IS4" s="1297"/>
      <c r="IT4" s="1297"/>
      <c r="IU4" s="1297"/>
      <c r="IV4" s="1297"/>
      <c r="IW4" s="1297"/>
      <c r="IX4" s="1297"/>
      <c r="IY4" s="1297"/>
      <c r="IZ4" s="1297"/>
      <c r="JA4" s="1297"/>
      <c r="JB4" s="1297"/>
      <c r="JC4" s="1297"/>
      <c r="JD4" s="1297"/>
      <c r="JE4" s="1297"/>
      <c r="JF4" s="1297"/>
      <c r="JG4" s="1297"/>
      <c r="JH4" s="1297"/>
      <c r="JJ4" s="1272"/>
      <c r="JK4" s="1297"/>
      <c r="JL4" s="1297"/>
      <c r="JM4" s="1297"/>
      <c r="JN4" s="1297"/>
      <c r="JO4" s="1297"/>
      <c r="JP4" s="1297"/>
      <c r="JQ4" s="1297"/>
      <c r="JR4" s="1297"/>
      <c r="JS4" s="1297"/>
      <c r="JT4" s="1297"/>
      <c r="JU4" s="1297"/>
      <c r="JV4" s="1297"/>
      <c r="JX4" s="1272"/>
      <c r="JY4" s="1298"/>
      <c r="JZ4" s="1298"/>
      <c r="KA4" s="1298"/>
      <c r="KB4" s="1298"/>
      <c r="KD4" s="1272"/>
      <c r="KE4" s="1297"/>
      <c r="KF4" s="1297"/>
      <c r="KG4" s="1297"/>
      <c r="KH4" s="1297"/>
      <c r="KI4" s="1297"/>
      <c r="KJ4" s="1297"/>
      <c r="KK4" s="1297"/>
      <c r="KL4" s="1297"/>
      <c r="KM4" s="1297"/>
      <c r="KN4" s="1297"/>
      <c r="KO4" s="1297"/>
      <c r="KP4" s="1297"/>
      <c r="KQ4" s="1297"/>
      <c r="KR4" s="1297"/>
      <c r="KS4" s="1297"/>
      <c r="KT4" s="1297"/>
      <c r="KU4" s="1297"/>
      <c r="KV4" s="1297"/>
      <c r="KX4" s="1272"/>
      <c r="KY4" s="1299"/>
      <c r="KZ4" s="1299"/>
      <c r="LA4" s="1299"/>
      <c r="LB4" s="1299"/>
      <c r="LC4" s="1299"/>
      <c r="LD4" s="1299"/>
      <c r="LE4" s="1299"/>
      <c r="LF4" s="1299"/>
      <c r="LG4" s="1299"/>
      <c r="LI4" s="1270"/>
      <c r="LJ4" s="1310"/>
      <c r="LK4" s="1310"/>
      <c r="LL4" s="1310"/>
      <c r="LM4" s="1310"/>
      <c r="LN4" s="1310"/>
      <c r="LO4" s="1310"/>
      <c r="LP4" s="1310"/>
      <c r="LQ4" s="1310"/>
      <c r="LR4" s="1310"/>
      <c r="LS4" s="1310"/>
      <c r="LT4" s="1310"/>
      <c r="LU4" s="1310"/>
      <c r="LV4" s="1310"/>
      <c r="LW4" s="1310"/>
      <c r="LX4" s="1310"/>
      <c r="LY4" s="1310"/>
      <c r="LZ4" s="1310"/>
      <c r="MA4" s="1310"/>
      <c r="MC4" s="1270"/>
      <c r="MD4" s="1276"/>
      <c r="ME4" s="1276"/>
      <c r="MF4" s="1276"/>
      <c r="MG4" s="1276"/>
      <c r="MH4" s="1276"/>
      <c r="MI4" s="1276"/>
      <c r="MJ4" s="1276"/>
      <c r="MK4" s="1276"/>
      <c r="ML4" s="1276"/>
      <c r="MM4" s="1276"/>
      <c r="MN4" s="1276"/>
      <c r="MO4" s="1276"/>
      <c r="MP4" s="1276"/>
      <c r="MQ4" s="1276"/>
      <c r="MR4" s="1276"/>
      <c r="MS4" s="1276"/>
      <c r="MT4" s="1276"/>
      <c r="MU4" s="1276"/>
      <c r="MW4" s="1270"/>
      <c r="MX4" s="1310"/>
      <c r="MY4" s="1310"/>
      <c r="MZ4" s="1310"/>
      <c r="NA4" s="1310"/>
      <c r="NB4" s="1310"/>
      <c r="NC4" s="1310"/>
      <c r="ND4" s="1310"/>
      <c r="NE4" s="1310"/>
      <c r="NF4" s="1310"/>
      <c r="NH4" s="1270"/>
      <c r="NI4" s="1310"/>
      <c r="NJ4" s="1310"/>
      <c r="NK4" s="1310"/>
      <c r="NL4" s="1310"/>
      <c r="NM4" s="1310"/>
      <c r="NN4" s="1310"/>
      <c r="NO4" s="1310"/>
      <c r="NP4" s="1310"/>
      <c r="NQ4" s="1310"/>
      <c r="NR4" s="1310"/>
      <c r="NT4" s="1270"/>
      <c r="NU4" s="1362"/>
      <c r="NV4" s="1362"/>
      <c r="NW4" s="1362"/>
      <c r="NX4" s="1362"/>
      <c r="NY4" s="1362"/>
      <c r="NZ4" s="1362"/>
      <c r="OA4" s="1362"/>
      <c r="OB4" s="1362"/>
      <c r="OD4" s="1374"/>
      <c r="OE4" s="1366"/>
      <c r="OF4" s="1366"/>
      <c r="OG4" s="1366"/>
      <c r="OH4" s="1366"/>
      <c r="OI4" s="1366"/>
      <c r="OJ4" s="1366"/>
      <c r="OK4" s="1366"/>
      <c r="OL4" s="1366"/>
      <c r="OM4" s="1366"/>
      <c r="ON4" s="1366"/>
      <c r="OO4" s="1366"/>
      <c r="OP4" s="1366"/>
      <c r="OQ4" s="1366"/>
      <c r="OR4" s="1366"/>
      <c r="OT4" s="1374"/>
      <c r="OU4" s="1366"/>
      <c r="OV4" s="1366"/>
      <c r="OW4" s="1366"/>
      <c r="OX4" s="1366"/>
      <c r="OY4" s="1366"/>
      <c r="OZ4" s="1366"/>
      <c r="PA4" s="1366"/>
      <c r="PB4" s="1366"/>
      <c r="PC4" s="1366"/>
      <c r="PD4" s="1366"/>
      <c r="PE4" s="1366"/>
      <c r="PF4" s="1366"/>
      <c r="PH4" s="1374"/>
      <c r="PI4" s="1350"/>
      <c r="PJ4" s="1350"/>
      <c r="PK4" s="1350"/>
      <c r="PL4" s="1350"/>
      <c r="PM4" s="1350"/>
      <c r="PN4" s="1350"/>
      <c r="PO4" s="1350"/>
      <c r="PP4" s="1350"/>
      <c r="PR4" s="1234"/>
      <c r="PS4" s="1235"/>
      <c r="PT4" s="1235"/>
      <c r="PU4" s="1235"/>
      <c r="PV4" s="1235"/>
      <c r="PW4" s="1235"/>
      <c r="PX4" s="1178"/>
      <c r="PZ4" s="1234"/>
      <c r="QA4" s="1235"/>
      <c r="QB4" s="1235"/>
      <c r="QC4" s="1235"/>
      <c r="QD4" s="1235"/>
      <c r="QE4" s="1235"/>
      <c r="QF4" s="1235"/>
    </row>
    <row r="5" spans="1:448" ht="15" customHeight="1">
      <c r="A5" s="75"/>
      <c r="B5" s="75"/>
      <c r="C5" s="75"/>
      <c r="D5" s="75"/>
      <c r="E5" s="75"/>
      <c r="F5" s="75"/>
      <c r="G5" s="75"/>
      <c r="H5" s="75"/>
      <c r="I5" s="75"/>
      <c r="J5" s="75"/>
      <c r="K5" s="75"/>
      <c r="L5" s="75"/>
      <c r="M5" s="75"/>
      <c r="N5" s="75"/>
      <c r="O5" s="75"/>
      <c r="P5" s="75"/>
      <c r="Q5" s="75"/>
      <c r="R5" s="75"/>
      <c r="S5" s="75"/>
      <c r="T5" s="75"/>
      <c r="U5" s="75"/>
      <c r="V5" s="75"/>
      <c r="W5" s="75"/>
      <c r="X5" s="431"/>
      <c r="AC5" s="431"/>
      <c r="AD5" s="431"/>
      <c r="AE5" s="431"/>
      <c r="AF5" s="431"/>
      <c r="AG5" s="431"/>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431"/>
      <c r="CD5" s="431"/>
      <c r="CE5" s="431"/>
      <c r="CF5" s="431"/>
      <c r="CG5" s="431"/>
      <c r="CH5" s="431"/>
      <c r="CI5" s="431"/>
      <c r="CJ5" s="431"/>
      <c r="CK5" s="431"/>
      <c r="CL5" s="431"/>
      <c r="CM5" s="431"/>
      <c r="CN5" s="431"/>
      <c r="CO5" s="431"/>
      <c r="CP5" s="431"/>
      <c r="CQ5" s="431"/>
      <c r="CR5" s="431"/>
      <c r="CS5" s="65"/>
      <c r="CT5" s="65"/>
      <c r="CU5" s="65"/>
      <c r="CV5" s="65"/>
      <c r="CW5" s="65"/>
      <c r="CX5" s="65"/>
      <c r="CY5" s="65"/>
      <c r="CZ5" s="65"/>
      <c r="DA5" s="65"/>
      <c r="DB5" s="65"/>
      <c r="DC5" s="65"/>
      <c r="DD5" s="1228"/>
      <c r="DE5" s="1228"/>
      <c r="DF5" s="536"/>
      <c r="DG5" s="536"/>
      <c r="DI5" s="97"/>
      <c r="DJ5" s="63"/>
      <c r="DK5" s="63"/>
      <c r="DL5" s="63"/>
      <c r="DM5" s="63"/>
      <c r="DO5" s="75"/>
      <c r="DP5" s="431"/>
      <c r="DQ5" s="431"/>
      <c r="DR5" s="431"/>
      <c r="DS5" s="431"/>
      <c r="DT5" s="75"/>
      <c r="DU5" s="431"/>
      <c r="DV5" s="431"/>
      <c r="DW5" s="431"/>
      <c r="DX5" s="431"/>
      <c r="DY5" s="75"/>
      <c r="DZ5" s="431"/>
      <c r="EA5" s="431"/>
      <c r="EB5" s="431"/>
      <c r="EC5" s="431"/>
      <c r="ED5" s="431"/>
      <c r="EE5" s="431"/>
      <c r="EF5" s="431"/>
      <c r="EG5" s="431"/>
      <c r="EH5" s="431"/>
      <c r="EI5" s="431"/>
      <c r="EJ5" s="431"/>
      <c r="EK5" s="431"/>
      <c r="EL5" s="431"/>
      <c r="EM5" s="431"/>
      <c r="EN5" s="431"/>
      <c r="EO5" s="431"/>
      <c r="EP5" s="431"/>
      <c r="EQ5" s="431"/>
      <c r="ER5" s="431"/>
      <c r="ES5" s="431"/>
      <c r="ET5" s="431"/>
      <c r="EU5" s="431"/>
      <c r="EV5" s="431"/>
      <c r="EW5" s="75"/>
      <c r="EX5" s="63"/>
      <c r="EY5" s="63"/>
      <c r="EZ5" s="63"/>
      <c r="FA5" s="63"/>
      <c r="FB5" s="63"/>
      <c r="FC5" s="63"/>
      <c r="FD5" s="63"/>
      <c r="FE5" s="63"/>
      <c r="FF5" s="63"/>
      <c r="FG5" s="63"/>
      <c r="FH5" s="63"/>
      <c r="FI5" s="431"/>
      <c r="FJ5" s="431"/>
      <c r="FK5" s="431"/>
      <c r="FL5" s="431"/>
      <c r="FM5" s="431"/>
      <c r="FN5" s="431"/>
      <c r="FO5" s="431"/>
      <c r="FP5" s="431"/>
      <c r="FQ5" s="431"/>
      <c r="FR5" s="431"/>
      <c r="FS5" s="431"/>
      <c r="FT5" s="431"/>
      <c r="FU5" s="431"/>
      <c r="FV5" s="431"/>
      <c r="FW5" s="431"/>
      <c r="FX5" s="431"/>
      <c r="FY5" s="431"/>
      <c r="FZ5" s="431"/>
      <c r="GA5" s="431"/>
      <c r="GB5" s="431"/>
      <c r="GC5" s="431"/>
      <c r="GD5" s="431"/>
      <c r="GE5" s="431"/>
      <c r="GF5" s="431"/>
      <c r="GG5" s="431"/>
      <c r="GH5" s="431"/>
      <c r="GI5" s="431"/>
      <c r="GJ5" s="75"/>
      <c r="GK5" s="431"/>
      <c r="GL5" s="431"/>
      <c r="GM5" s="431"/>
      <c r="GN5" s="431"/>
      <c r="GO5" s="431"/>
      <c r="GP5" s="75"/>
      <c r="GQ5" s="431"/>
      <c r="GR5" s="431"/>
      <c r="GS5" s="431"/>
      <c r="GT5" s="431"/>
      <c r="GU5" s="431"/>
      <c r="GV5" s="431"/>
      <c r="GW5" s="431"/>
      <c r="GX5" s="431"/>
      <c r="GY5" s="431"/>
      <c r="GZ5" s="431"/>
      <c r="HA5" s="431"/>
      <c r="HB5" s="431"/>
      <c r="HC5" s="431"/>
      <c r="HD5" s="431"/>
      <c r="HE5" s="431"/>
      <c r="HF5" s="431"/>
      <c r="HG5" s="431"/>
      <c r="HH5" s="431"/>
      <c r="HI5" s="431"/>
      <c r="HJ5" s="431"/>
      <c r="HK5" s="75"/>
      <c r="HL5" s="75"/>
      <c r="HM5" s="75"/>
      <c r="HN5" s="75"/>
      <c r="HO5" s="75"/>
      <c r="HP5" s="75"/>
      <c r="HQ5" s="75"/>
      <c r="HR5" s="75"/>
      <c r="HS5" s="75"/>
      <c r="HT5" s="431"/>
      <c r="HU5" s="431"/>
      <c r="HV5" s="431"/>
      <c r="HW5" s="626"/>
      <c r="HX5" s="431"/>
      <c r="HY5" s="431"/>
      <c r="HZ5" s="431"/>
      <c r="IA5" s="431"/>
      <c r="IB5" s="431"/>
      <c r="IC5" s="431"/>
      <c r="ID5" s="431"/>
      <c r="IE5" s="431"/>
      <c r="IF5" s="431"/>
      <c r="IG5" s="431"/>
      <c r="IH5" s="431"/>
      <c r="II5" s="431"/>
      <c r="IJ5" s="431"/>
      <c r="IK5" s="431"/>
      <c r="IL5" s="431"/>
      <c r="IM5" s="431"/>
      <c r="IN5" s="431"/>
      <c r="IO5" s="431"/>
      <c r="IP5" s="431"/>
      <c r="IQ5" s="431"/>
      <c r="IR5" s="431"/>
      <c r="IS5" s="431"/>
      <c r="IT5" s="431"/>
      <c r="IU5" s="431"/>
      <c r="IV5" s="431"/>
      <c r="IW5" s="431"/>
      <c r="IX5" s="431"/>
      <c r="IY5" s="431"/>
      <c r="IZ5" s="431"/>
      <c r="JA5" s="431"/>
      <c r="JB5" s="431"/>
      <c r="JC5" s="431"/>
      <c r="JD5" s="431"/>
      <c r="JE5" s="431"/>
      <c r="JF5" s="431"/>
      <c r="JG5" s="431"/>
      <c r="JH5" s="431"/>
      <c r="JI5" s="431"/>
      <c r="JJ5" s="431"/>
      <c r="JK5" s="431"/>
      <c r="JL5" s="431"/>
      <c r="JM5" s="431"/>
      <c r="JN5" s="431"/>
      <c r="JO5" s="431"/>
      <c r="JP5" s="431"/>
      <c r="JQ5" s="431"/>
      <c r="JR5" s="431"/>
      <c r="JS5" s="431"/>
      <c r="JT5" s="431"/>
      <c r="JU5" s="431"/>
      <c r="JV5" s="431"/>
      <c r="JW5" s="431"/>
      <c r="JX5" s="431"/>
      <c r="JY5" s="431"/>
      <c r="JZ5" s="431"/>
      <c r="KA5" s="431"/>
      <c r="KB5" s="431"/>
      <c r="KC5" s="431"/>
      <c r="KD5" s="431"/>
      <c r="KE5" s="75"/>
      <c r="KF5" s="431"/>
      <c r="KG5" s="431"/>
      <c r="KH5" s="431"/>
      <c r="KI5" s="431"/>
      <c r="KJ5" s="431"/>
      <c r="KK5" s="431"/>
      <c r="KL5" s="431"/>
      <c r="KM5" s="431"/>
      <c r="KN5" s="431"/>
      <c r="KO5" s="431"/>
      <c r="KP5" s="431"/>
      <c r="KQ5" s="431"/>
      <c r="KR5" s="431"/>
      <c r="KS5" s="431"/>
      <c r="KT5" s="431"/>
      <c r="KU5" s="431"/>
      <c r="KV5" s="431"/>
      <c r="KW5" s="431"/>
      <c r="KX5" s="431"/>
      <c r="KY5" s="75"/>
      <c r="KZ5" s="164"/>
      <c r="LA5" s="164"/>
      <c r="LB5" s="164"/>
      <c r="LC5" s="164"/>
      <c r="LD5" s="164"/>
      <c r="LE5" s="164"/>
      <c r="LF5" s="164"/>
      <c r="LG5" s="164"/>
      <c r="LH5" s="164"/>
      <c r="LI5" s="75"/>
      <c r="LJ5" s="431"/>
      <c r="LK5" s="431"/>
      <c r="LL5" s="431"/>
      <c r="LM5" s="431"/>
      <c r="LN5" s="431"/>
      <c r="LO5" s="431"/>
      <c r="LP5" s="431"/>
      <c r="LQ5" s="431"/>
      <c r="LR5" s="431"/>
      <c r="LS5" s="431"/>
      <c r="LT5" s="161"/>
      <c r="LU5" s="161"/>
      <c r="LV5" s="161"/>
      <c r="LW5" s="161"/>
      <c r="LX5" s="161"/>
      <c r="LY5" s="161"/>
      <c r="LZ5" s="161"/>
      <c r="MA5" s="161"/>
      <c r="MB5" s="161"/>
      <c r="MC5" s="161"/>
      <c r="MD5" s="161"/>
      <c r="ME5" s="75"/>
      <c r="MF5" s="75"/>
      <c r="MG5" s="75"/>
      <c r="MH5" s="75"/>
      <c r="MI5" s="75"/>
      <c r="MJ5" s="75"/>
      <c r="MK5" s="75"/>
      <c r="ML5" s="75"/>
      <c r="MM5" s="75"/>
      <c r="MN5" s="75"/>
      <c r="MO5" s="75"/>
      <c r="MP5" s="75"/>
      <c r="MQ5" s="75"/>
      <c r="MR5" s="75"/>
      <c r="MS5" s="75"/>
      <c r="MT5" s="75"/>
      <c r="MU5" s="75"/>
      <c r="MV5" s="75"/>
      <c r="MW5" s="75"/>
      <c r="MX5" s="431"/>
      <c r="MY5" s="431"/>
      <c r="MZ5" s="431"/>
      <c r="NA5" s="431"/>
      <c r="NB5" s="431"/>
      <c r="NC5" s="431"/>
      <c r="ND5" s="431"/>
      <c r="NE5" s="431"/>
      <c r="NF5" s="431"/>
      <c r="NG5" s="431"/>
      <c r="NH5" s="161"/>
      <c r="NI5" s="161"/>
      <c r="NJ5" s="161"/>
      <c r="NK5" s="161"/>
      <c r="NL5" s="161"/>
      <c r="NM5" s="161"/>
      <c r="NN5" s="161"/>
      <c r="NO5" s="161"/>
      <c r="NP5" s="161"/>
      <c r="NQ5" s="161"/>
      <c r="NR5" s="161"/>
      <c r="NS5" s="161"/>
      <c r="NT5" s="161"/>
      <c r="NU5" s="161"/>
      <c r="NV5" s="161"/>
      <c r="NW5" s="161"/>
      <c r="NX5" s="161"/>
      <c r="NY5" s="161"/>
      <c r="NZ5" s="161"/>
      <c r="OA5" s="161"/>
      <c r="OB5" s="161"/>
      <c r="OC5" s="161"/>
      <c r="OD5" s="161"/>
      <c r="OE5" s="530"/>
      <c r="OF5" s="139"/>
      <c r="OG5" s="139"/>
      <c r="OH5" s="139"/>
      <c r="OI5" s="139"/>
      <c r="OJ5" s="139"/>
      <c r="OK5" s="139"/>
      <c r="OL5" s="139"/>
      <c r="OM5" s="139"/>
      <c r="ON5" s="139"/>
      <c r="OO5" s="139"/>
      <c r="OP5" s="139"/>
      <c r="OQ5" s="139"/>
      <c r="OR5" s="139"/>
      <c r="OS5" s="139"/>
      <c r="OT5" s="139"/>
      <c r="OU5" s="139"/>
      <c r="OV5" s="608"/>
      <c r="OW5" s="606"/>
      <c r="OX5" s="606"/>
      <c r="OY5" s="606"/>
      <c r="OZ5" s="606"/>
      <c r="PA5" s="606"/>
      <c r="PB5" s="606"/>
      <c r="PC5" s="606"/>
      <c r="PD5" s="606"/>
      <c r="PE5" s="606"/>
      <c r="PF5" s="606"/>
      <c r="PG5" s="606"/>
      <c r="PH5" s="606"/>
      <c r="PI5" s="532"/>
      <c r="PJ5" s="608"/>
      <c r="PK5" s="606"/>
      <c r="PL5" s="606"/>
      <c r="PM5" s="606"/>
      <c r="PN5" s="606"/>
      <c r="PO5" s="606"/>
      <c r="PP5" s="606"/>
      <c r="PQ5" s="606"/>
      <c r="PR5" s="139"/>
      <c r="PS5" s="530"/>
      <c r="PT5" s="530"/>
      <c r="PU5" s="530"/>
      <c r="PV5" s="530"/>
      <c r="PZ5" s="139"/>
      <c r="QA5" s="530"/>
      <c r="QB5" s="530"/>
      <c r="QC5" s="530"/>
      <c r="QE5" s="530"/>
    </row>
    <row r="6" spans="1:448" ht="13.2" customHeight="1">
      <c r="A6" s="530"/>
      <c r="B6" s="530"/>
      <c r="C6" s="530"/>
      <c r="D6" s="530"/>
      <c r="E6" s="530"/>
      <c r="F6" s="530"/>
      <c r="G6" s="139"/>
      <c r="H6" s="63"/>
      <c r="I6" s="63"/>
      <c r="J6" s="63"/>
      <c r="K6" s="139"/>
      <c r="M6" s="124"/>
      <c r="N6" s="124"/>
      <c r="O6" s="124"/>
      <c r="P6" s="124"/>
      <c r="Q6" s="124"/>
      <c r="R6" s="124"/>
      <c r="S6" s="124"/>
      <c r="T6" s="124"/>
      <c r="U6" s="124"/>
      <c r="V6" s="124"/>
      <c r="W6" s="530"/>
      <c r="X6" s="75"/>
      <c r="Y6" s="97"/>
      <c r="Z6" s="97"/>
      <c r="AA6" s="97"/>
      <c r="AB6" s="97"/>
      <c r="AC6" s="75"/>
      <c r="AD6" s="75"/>
      <c r="AE6" s="75"/>
      <c r="AF6" s="75"/>
      <c r="AG6" s="75"/>
      <c r="AH6" s="75"/>
      <c r="AI6" s="75"/>
      <c r="AJ6" s="530"/>
      <c r="AK6" s="75"/>
      <c r="AL6" s="75"/>
      <c r="AN6" s="125"/>
      <c r="AO6" s="63"/>
      <c r="AP6" s="63"/>
      <c r="AQ6" s="63"/>
      <c r="AR6" s="63"/>
      <c r="AS6" s="63"/>
      <c r="AT6" s="63"/>
      <c r="AU6" s="63"/>
      <c r="AW6" s="75"/>
      <c r="AX6" s="63"/>
      <c r="AY6" s="63"/>
      <c r="AZ6" s="63"/>
      <c r="BA6" s="63"/>
      <c r="BB6" s="63"/>
      <c r="BC6" s="63"/>
      <c r="BE6" s="63"/>
      <c r="BF6" s="63"/>
      <c r="BG6" s="63"/>
      <c r="BH6" s="63"/>
      <c r="BI6" s="63"/>
      <c r="BJ6" s="63"/>
      <c r="BK6" s="63"/>
      <c r="BM6" s="530"/>
      <c r="BN6" s="139"/>
      <c r="BO6" s="139"/>
      <c r="BP6" s="139"/>
      <c r="BQ6" s="139"/>
      <c r="BR6" s="139"/>
      <c r="BS6" s="139"/>
      <c r="BT6" s="139"/>
      <c r="BU6" s="139"/>
      <c r="BV6" s="139"/>
      <c r="BW6" s="139"/>
      <c r="BX6" s="139"/>
      <c r="BY6" s="139"/>
      <c r="BZ6" s="139"/>
      <c r="CA6" s="139"/>
      <c r="CB6" s="139"/>
      <c r="CC6" s="139"/>
      <c r="CD6" s="139"/>
      <c r="CE6" s="139"/>
      <c r="CF6" s="139"/>
      <c r="CG6" s="139"/>
      <c r="CH6" s="139"/>
      <c r="CI6" s="530"/>
      <c r="CJ6" s="139"/>
      <c r="CK6" s="139"/>
      <c r="CL6" s="139"/>
      <c r="CM6" s="139"/>
      <c r="CN6" s="139"/>
      <c r="CO6" s="139"/>
      <c r="CP6" s="139"/>
      <c r="CQ6" s="139"/>
      <c r="CR6" s="139"/>
      <c r="CT6" s="1240">
        <f>'Aides traitements'!$I$9</f>
        <v>2009</v>
      </c>
      <c r="CU6" s="1283"/>
      <c r="CV6" s="1283"/>
      <c r="CW6" s="1284"/>
      <c r="CX6" s="1240">
        <f>'Aides traitements'!$I$10</f>
        <v>2014</v>
      </c>
      <c r="CY6" s="1283"/>
      <c r="CZ6" s="1283"/>
      <c r="DA6" s="1284"/>
      <c r="DB6" s="1286">
        <f>'Aides traitements'!$I$11</f>
        <v>2020</v>
      </c>
      <c r="DC6" s="1326"/>
      <c r="DD6" s="1326"/>
      <c r="DE6" s="1287"/>
      <c r="DF6" s="537"/>
      <c r="DG6" s="55"/>
      <c r="DH6" s="63"/>
      <c r="DI6" s="63"/>
      <c r="DJ6" s="63"/>
      <c r="DK6" s="63"/>
      <c r="DL6" s="63"/>
      <c r="DM6" s="63"/>
      <c r="DO6" s="75"/>
      <c r="DP6" s="75"/>
      <c r="DQ6" s="75"/>
      <c r="DR6" s="75"/>
      <c r="DS6" s="75"/>
      <c r="DT6" s="75"/>
      <c r="DU6" s="530"/>
      <c r="DV6" s="530"/>
      <c r="DW6" s="63"/>
      <c r="DX6" s="63"/>
      <c r="DZ6" s="530"/>
      <c r="EA6" s="75"/>
      <c r="EB6" s="75"/>
      <c r="EC6" s="75"/>
      <c r="ED6" s="625"/>
      <c r="EE6" s="139"/>
      <c r="EF6" s="63"/>
      <c r="EG6" s="139"/>
      <c r="EH6" s="139"/>
      <c r="EI6" s="139"/>
      <c r="EJ6" s="139"/>
      <c r="EK6" s="139"/>
      <c r="EL6" s="139"/>
      <c r="EM6" s="139"/>
      <c r="EN6" s="139"/>
      <c r="EO6" s="139"/>
      <c r="EP6" s="139"/>
      <c r="EQ6" s="530"/>
      <c r="ER6" s="530"/>
      <c r="ES6" s="530"/>
      <c r="ET6" s="530"/>
      <c r="EU6" s="530"/>
      <c r="EV6" s="530"/>
      <c r="EW6" s="1285">
        <f>'Aides traitements'!$I$9</f>
        <v>2009</v>
      </c>
      <c r="EX6" s="1256"/>
      <c r="EY6" s="1256"/>
      <c r="EZ6" s="1256"/>
      <c r="FA6" s="1256"/>
      <c r="FB6" s="1256"/>
      <c r="FC6" s="1256"/>
      <c r="FD6" s="1257"/>
      <c r="FE6" s="1285">
        <f>'Aides traitements'!$I$10</f>
        <v>2014</v>
      </c>
      <c r="FF6" s="1256"/>
      <c r="FG6" s="1256"/>
      <c r="FH6" s="1256"/>
      <c r="FI6" s="1256"/>
      <c r="FJ6" s="1256"/>
      <c r="FK6" s="1256"/>
      <c r="FL6" s="1257"/>
      <c r="FM6" s="1308">
        <f>'Aides traitements'!$I$11</f>
        <v>2020</v>
      </c>
      <c r="FN6" s="1319"/>
      <c r="FO6" s="1319"/>
      <c r="FP6" s="1319"/>
      <c r="FQ6" s="1319"/>
      <c r="FR6" s="1319"/>
      <c r="FS6" s="1319"/>
      <c r="FT6" s="1320"/>
      <c r="FV6" s="139"/>
      <c r="FW6" s="530"/>
      <c r="FX6" s="139"/>
      <c r="FY6" s="139"/>
      <c r="FZ6" s="139"/>
      <c r="GA6" s="139"/>
      <c r="GB6" s="139"/>
      <c r="GC6" s="139"/>
      <c r="GD6" s="139"/>
      <c r="GE6" s="139"/>
      <c r="GF6" s="530"/>
      <c r="GG6" s="530"/>
      <c r="GH6" s="530"/>
      <c r="GI6" s="530"/>
      <c r="GJ6" s="530"/>
      <c r="GK6" s="139"/>
      <c r="GL6" s="139"/>
      <c r="GM6" s="139"/>
      <c r="GN6" s="139"/>
      <c r="GO6" s="139"/>
      <c r="GP6" s="75"/>
      <c r="GQ6" s="139"/>
      <c r="GR6" s="139"/>
      <c r="GS6" s="139"/>
      <c r="GT6" s="139"/>
      <c r="GU6" s="139"/>
      <c r="GV6" s="139"/>
      <c r="GW6" s="139"/>
      <c r="GX6" s="139"/>
      <c r="GY6" s="139"/>
      <c r="GZ6" s="139"/>
      <c r="HA6" s="530"/>
      <c r="HB6" s="139"/>
      <c r="HC6" s="139"/>
      <c r="HD6" s="530"/>
      <c r="HE6" s="139"/>
      <c r="HF6" s="139"/>
      <c r="HG6" s="139"/>
      <c r="HH6" s="530"/>
      <c r="HI6" s="530"/>
      <c r="HJ6" s="530"/>
      <c r="HK6" s="75"/>
      <c r="HL6" s="75"/>
      <c r="HM6" s="75"/>
      <c r="HN6" s="75"/>
      <c r="HO6" s="530"/>
      <c r="HP6" s="530"/>
      <c r="HQ6" s="530"/>
      <c r="HR6" s="530"/>
      <c r="HS6" s="530"/>
      <c r="HT6" s="530"/>
      <c r="HU6" s="530"/>
      <c r="HV6" s="530"/>
      <c r="HW6" s="625"/>
      <c r="HX6" s="139"/>
      <c r="HY6" s="139"/>
      <c r="HZ6" s="139"/>
      <c r="IA6" s="139"/>
      <c r="IB6" s="139"/>
      <c r="IC6" s="139"/>
      <c r="ID6" s="139"/>
      <c r="IE6" s="139"/>
      <c r="IF6" s="139"/>
      <c r="IG6" s="139"/>
      <c r="IH6" s="139"/>
      <c r="II6" s="139"/>
      <c r="IJ6" s="530"/>
      <c r="IK6" s="530"/>
      <c r="IL6" s="530"/>
      <c r="IM6" s="530"/>
      <c r="IN6" s="530"/>
      <c r="IO6" s="530"/>
      <c r="IP6" s="530"/>
      <c r="IQ6" s="63"/>
      <c r="IR6" s="139"/>
      <c r="IS6" s="139"/>
      <c r="IT6" s="139"/>
      <c r="IU6" s="139"/>
      <c r="IV6" s="139"/>
      <c r="IW6" s="139"/>
      <c r="IX6" s="139"/>
      <c r="IY6" s="139"/>
      <c r="IZ6" s="139"/>
      <c r="JA6" s="139"/>
      <c r="JB6" s="139"/>
      <c r="JC6" s="139"/>
      <c r="JD6" s="530"/>
      <c r="JE6" s="530"/>
      <c r="JF6" s="530"/>
      <c r="JG6" s="530"/>
      <c r="JH6" s="530"/>
      <c r="JI6" s="530"/>
      <c r="JJ6" s="530"/>
      <c r="JK6" s="75"/>
      <c r="JL6" s="139"/>
      <c r="JM6" s="139"/>
      <c r="JN6" s="139"/>
      <c r="JO6" s="139"/>
      <c r="JP6" s="139"/>
      <c r="JQ6" s="139"/>
      <c r="JR6" s="139"/>
      <c r="JS6" s="139"/>
      <c r="JT6" s="530"/>
      <c r="JU6" s="530"/>
      <c r="JV6" s="530"/>
      <c r="JW6" s="530"/>
      <c r="JX6" s="530"/>
      <c r="JY6" s="63"/>
      <c r="JZ6" s="55"/>
      <c r="KA6" s="55"/>
      <c r="KB6" s="55"/>
      <c r="KC6" s="55"/>
      <c r="KD6" s="75"/>
      <c r="KE6" s="538"/>
      <c r="KF6" s="75"/>
      <c r="KG6" s="75"/>
      <c r="KH6" s="75"/>
      <c r="KI6" s="75"/>
      <c r="KJ6" s="75"/>
      <c r="KK6" s="75"/>
      <c r="KL6" s="75"/>
      <c r="KM6" s="75"/>
      <c r="KN6" s="75"/>
      <c r="KO6" s="75"/>
      <c r="KP6" s="75"/>
      <c r="KQ6" s="75"/>
      <c r="KR6" s="75"/>
      <c r="KS6" s="75"/>
      <c r="KT6" s="75"/>
      <c r="KU6" s="75"/>
      <c r="KV6" s="75"/>
      <c r="KW6" s="75"/>
      <c r="KX6" s="530"/>
      <c r="KY6" s="164"/>
      <c r="KZ6" s="63"/>
      <c r="LA6" s="63"/>
      <c r="LB6" s="63"/>
      <c r="LC6" s="63"/>
      <c r="LD6" s="63"/>
      <c r="LE6" s="63"/>
      <c r="LF6" s="75"/>
      <c r="LG6" s="75"/>
      <c r="LH6" s="75"/>
      <c r="LI6" s="530"/>
      <c r="LJ6" s="1307"/>
      <c r="LK6" s="1307"/>
      <c r="LL6" s="1307"/>
      <c r="LM6" s="1307"/>
      <c r="LN6" s="1307"/>
      <c r="LO6" s="1307"/>
      <c r="LP6" s="1307"/>
      <c r="LQ6" s="1307"/>
      <c r="LR6" s="1307"/>
      <c r="LS6" s="1307"/>
      <c r="LT6" s="1307"/>
      <c r="LU6" s="1307"/>
      <c r="LV6" s="1307"/>
      <c r="LW6" s="1307"/>
      <c r="LX6" s="1307"/>
      <c r="LY6" s="1307"/>
      <c r="LZ6" s="1307"/>
      <c r="MA6" s="1307"/>
      <c r="MB6" s="1307"/>
      <c r="MC6" s="139"/>
      <c r="MD6" s="625"/>
      <c r="ME6" s="139"/>
      <c r="MF6" s="139"/>
      <c r="MG6" s="139"/>
      <c r="MH6" s="139"/>
      <c r="MI6" s="139"/>
      <c r="MJ6" s="139"/>
      <c r="MK6" s="450"/>
      <c r="ML6" s="450"/>
      <c r="MM6" s="450"/>
      <c r="MN6" s="450"/>
      <c r="MO6" s="450"/>
      <c r="MP6" s="450"/>
      <c r="MQ6" s="139"/>
      <c r="MR6" s="139"/>
      <c r="MS6" s="139"/>
      <c r="MT6" s="139"/>
      <c r="MU6" s="139"/>
      <c r="MV6" s="139"/>
      <c r="MW6" s="139"/>
      <c r="MX6" s="63"/>
      <c r="MY6" s="63"/>
      <c r="MZ6" s="139"/>
      <c r="NA6" s="139"/>
      <c r="NB6" s="55"/>
      <c r="NC6" s="55"/>
      <c r="ND6" s="65"/>
      <c r="NE6" s="55"/>
      <c r="NF6" s="55"/>
      <c r="NG6" s="55"/>
      <c r="NH6" s="63"/>
      <c r="NI6" s="1285">
        <f>'Aides traitements'!$I$10</f>
        <v>2014</v>
      </c>
      <c r="NJ6" s="1292"/>
      <c r="NK6" s="1292"/>
      <c r="NL6" s="1292"/>
      <c r="NM6" s="1300"/>
      <c r="NN6" s="1280">
        <f>'Aides traitements'!$I$11</f>
        <v>2020</v>
      </c>
      <c r="NO6" s="1280"/>
      <c r="NP6" s="1280"/>
      <c r="NQ6" s="1280"/>
      <c r="NR6" s="1280"/>
      <c r="NT6" s="161"/>
      <c r="NU6" s="530"/>
      <c r="NV6" s="139"/>
      <c r="NW6" s="139"/>
      <c r="NX6" s="139"/>
      <c r="NY6" s="139"/>
      <c r="NZ6" s="139"/>
      <c r="OA6" s="139"/>
      <c r="OB6" s="139"/>
      <c r="OC6" s="139"/>
      <c r="OD6" s="139"/>
      <c r="OE6" s="1367" t="s">
        <v>432</v>
      </c>
      <c r="OF6" s="1367"/>
      <c r="OG6" s="1367"/>
      <c r="OH6" s="1367"/>
      <c r="OI6" s="1367"/>
      <c r="OJ6" s="1367"/>
      <c r="OK6" s="1367"/>
      <c r="OL6" s="1367"/>
      <c r="OM6" s="1367"/>
      <c r="ON6" s="1367"/>
      <c r="OO6" s="1367"/>
      <c r="OP6" s="1367"/>
      <c r="OQ6" s="1367"/>
      <c r="OR6" s="1367"/>
      <c r="OT6" s="139"/>
      <c r="OU6" s="139"/>
      <c r="OV6" s="139"/>
      <c r="OW6" s="139"/>
      <c r="OX6" s="139"/>
      <c r="OY6" s="530"/>
      <c r="OZ6" s="139"/>
      <c r="PA6" s="139"/>
      <c r="PB6" s="139"/>
      <c r="PC6" s="139"/>
      <c r="PD6" s="139"/>
      <c r="PE6" s="139"/>
      <c r="PF6" s="139"/>
      <c r="PG6" s="139"/>
      <c r="PH6" s="139"/>
      <c r="PI6" s="1351">
        <f>+'Aides traitements'!$I$11</f>
        <v>2020</v>
      </c>
      <c r="PJ6" s="1351"/>
      <c r="PK6" s="1351"/>
      <c r="PL6" s="1351"/>
      <c r="PM6" s="1351"/>
      <c r="PN6" s="1351"/>
      <c r="PO6" s="1351"/>
      <c r="PP6" s="1351"/>
      <c r="PR6" s="65"/>
      <c r="PS6" s="65"/>
      <c r="PT6" s="65"/>
      <c r="PU6" s="65"/>
      <c r="PV6" s="65"/>
      <c r="PZ6" s="65"/>
      <c r="QA6" s="65"/>
      <c r="QB6" s="65"/>
      <c r="QC6" s="65"/>
      <c r="QE6" s="65"/>
    </row>
    <row r="7" spans="1:448" ht="12" customHeight="1">
      <c r="A7" s="139"/>
      <c r="B7" s="55"/>
      <c r="C7" s="1312" t="s">
        <v>374</v>
      </c>
      <c r="D7" s="1313"/>
      <c r="E7" s="1314"/>
      <c r="F7" s="139"/>
      <c r="G7" s="55"/>
      <c r="H7" s="63"/>
      <c r="I7" s="63"/>
      <c r="J7" s="63"/>
      <c r="K7" s="139"/>
      <c r="W7" s="139"/>
      <c r="X7" s="63"/>
      <c r="Y7" s="97"/>
      <c r="Z7" s="97"/>
      <c r="AA7" s="97"/>
      <c r="AB7" s="97"/>
      <c r="AC7" s="139"/>
      <c r="AD7" s="139"/>
      <c r="AE7" s="139"/>
      <c r="AF7" s="139"/>
      <c r="AG7" s="139"/>
      <c r="AH7" s="75"/>
      <c r="AJ7" s="139"/>
      <c r="AL7" s="75"/>
      <c r="AM7" s="126"/>
      <c r="AN7" s="63"/>
      <c r="AO7" s="1328">
        <f>'Aides traitements'!$I$9</f>
        <v>2009</v>
      </c>
      <c r="AP7" s="1329"/>
      <c r="AQ7" s="1329"/>
      <c r="AR7" s="1329"/>
      <c r="AS7" s="1329"/>
      <c r="AT7" s="1329"/>
      <c r="AU7" s="1329"/>
      <c r="AV7" s="1268"/>
      <c r="AW7" s="1328">
        <f>'Aides traitements'!$I$10</f>
        <v>2014</v>
      </c>
      <c r="AX7" s="1329"/>
      <c r="AY7" s="1329"/>
      <c r="AZ7" s="1329"/>
      <c r="BA7" s="1329"/>
      <c r="BB7" s="1329"/>
      <c r="BC7" s="1329"/>
      <c r="BD7" s="1268"/>
      <c r="BE7" s="1338">
        <f>'Aides traitements'!$I$11</f>
        <v>2020</v>
      </c>
      <c r="BF7" s="1339"/>
      <c r="BG7" s="1339"/>
      <c r="BH7" s="1339"/>
      <c r="BI7" s="1339"/>
      <c r="BJ7" s="1339"/>
      <c r="BK7" s="1339"/>
      <c r="BL7" s="1340"/>
      <c r="BM7" s="530"/>
      <c r="BN7" s="63"/>
      <c r="BO7" s="1242">
        <f>'Aides traitements'!$I$9</f>
        <v>2009</v>
      </c>
      <c r="BP7" s="1260"/>
      <c r="BQ7" s="1260"/>
      <c r="BR7" s="1260"/>
      <c r="BS7" s="1260"/>
      <c r="BT7" s="1261"/>
      <c r="BU7" s="1242">
        <f>'Aides traitements'!$I$10</f>
        <v>2014</v>
      </c>
      <c r="BV7" s="1260"/>
      <c r="BW7" s="1260"/>
      <c r="BX7" s="1260"/>
      <c r="BY7" s="1260"/>
      <c r="BZ7" s="1261"/>
      <c r="CA7" s="1330">
        <f>'Aides traitements'!$I$11</f>
        <v>2020</v>
      </c>
      <c r="CB7" s="1331"/>
      <c r="CC7" s="1331"/>
      <c r="CD7" s="1331"/>
      <c r="CE7" s="1331"/>
      <c r="CF7" s="1332"/>
      <c r="CG7" s="139"/>
      <c r="CH7" s="63"/>
      <c r="CI7" s="1333">
        <f>'Aides traitements'!$I$9</f>
        <v>2009</v>
      </c>
      <c r="CJ7" s="1334"/>
      <c r="CK7" s="1334"/>
      <c r="CL7" s="1333">
        <f>'Aides traitements'!$I$10</f>
        <v>2014</v>
      </c>
      <c r="CM7" s="1334"/>
      <c r="CN7" s="1334"/>
      <c r="CO7" s="1335">
        <f>'Aides traitements'!$I$11</f>
        <v>2020</v>
      </c>
      <c r="CP7" s="1336"/>
      <c r="CQ7" s="1337"/>
      <c r="CR7" s="139"/>
      <c r="CT7" s="1267" t="str">
        <f>INDEX('Aides traitements'!$A$5:$A$58,'Page de garde'!$C$4,1)</f>
        <v>Paul Bert</v>
      </c>
      <c r="CU7" s="1268"/>
      <c r="CV7" s="1267" t="str">
        <f>VLOOKUP($CX$7,'Aides traitements'!$A$5:$B$58,2,FALSE)</f>
        <v>Tours nord</v>
      </c>
      <c r="CW7" s="1268"/>
      <c r="CX7" s="1267" t="str">
        <f>INDEX('Aides traitements'!$A$5:$A$58,'Page de garde'!$C$4,1)</f>
        <v>Paul Bert</v>
      </c>
      <c r="CY7" s="1268"/>
      <c r="CZ7" s="1267" t="str">
        <f>VLOOKUP($CX$7,'Aides traitements'!$A$5:$B$58,2,FALSE)</f>
        <v>Tours nord</v>
      </c>
      <c r="DA7" s="1268"/>
      <c r="DB7" s="1286" t="str">
        <f>INDEX('Aides traitements'!$A$5:$A$58,'Page de garde'!$C$4,1)</f>
        <v>Paul Bert</v>
      </c>
      <c r="DC7" s="1287"/>
      <c r="DD7" s="1286" t="str">
        <f>VLOOKUP($CX$7,'Aides traitements'!$A$5:$B$58,2,FALSE)</f>
        <v>Tours nord</v>
      </c>
      <c r="DE7" s="1287"/>
      <c r="DF7" s="537"/>
      <c r="DG7" s="63"/>
      <c r="DH7" s="1158" t="s">
        <v>653</v>
      </c>
      <c r="DI7" s="1321" t="s">
        <v>652</v>
      </c>
      <c r="DJ7" s="1322"/>
      <c r="DK7" s="1322"/>
      <c r="DL7" s="1322"/>
      <c r="DM7" s="1323"/>
      <c r="DN7" s="75"/>
      <c r="DO7" s="63"/>
      <c r="DP7" s="63"/>
      <c r="DQ7" s="63"/>
      <c r="DR7" s="63"/>
      <c r="DS7" s="63"/>
      <c r="DU7" s="63"/>
      <c r="DV7" s="63"/>
      <c r="DW7" s="63"/>
      <c r="DX7" s="97"/>
      <c r="DZ7" s="63"/>
      <c r="EA7" s="63"/>
      <c r="EB7" s="63"/>
      <c r="EC7" s="97"/>
      <c r="EE7" s="139"/>
      <c r="EF7" s="1242">
        <f>'Aides traitements'!$I$9</f>
        <v>2009</v>
      </c>
      <c r="EG7" s="1243"/>
      <c r="EH7" s="1243"/>
      <c r="EI7" s="1243"/>
      <c r="EJ7" s="1244"/>
      <c r="EK7" s="1242">
        <f>'Aides traitements'!$I$10</f>
        <v>2014</v>
      </c>
      <c r="EL7" s="1243"/>
      <c r="EM7" s="1243"/>
      <c r="EN7" s="1243"/>
      <c r="EO7" s="1244"/>
      <c r="EP7" s="1248">
        <f>'Aides traitements'!$I$11</f>
        <v>2020</v>
      </c>
      <c r="EQ7" s="1249"/>
      <c r="ER7" s="1249"/>
      <c r="ES7" s="1249"/>
      <c r="ET7" s="1249"/>
      <c r="EV7" s="139"/>
      <c r="EW7" s="1255" t="s">
        <v>421</v>
      </c>
      <c r="EX7" s="1256"/>
      <c r="EY7" s="1256"/>
      <c r="EZ7" s="1257"/>
      <c r="FA7" s="1255" t="s">
        <v>62</v>
      </c>
      <c r="FB7" s="1256"/>
      <c r="FC7" s="1256"/>
      <c r="FD7" s="1257"/>
      <c r="FE7" s="1255" t="s">
        <v>421</v>
      </c>
      <c r="FF7" s="1256"/>
      <c r="FG7" s="1256"/>
      <c r="FH7" s="1257"/>
      <c r="FI7" s="1255" t="s">
        <v>62</v>
      </c>
      <c r="FJ7" s="1256"/>
      <c r="FK7" s="1256"/>
      <c r="FL7" s="1257"/>
      <c r="FM7" s="1308" t="s">
        <v>421</v>
      </c>
      <c r="FN7" s="1256"/>
      <c r="FO7" s="1256"/>
      <c r="FP7" s="1257"/>
      <c r="FQ7" s="1308" t="s">
        <v>62</v>
      </c>
      <c r="FR7" s="1256"/>
      <c r="FS7" s="1256"/>
      <c r="FT7" s="1256"/>
      <c r="FV7" s="139"/>
      <c r="FW7" s="1242">
        <f>'Aides traitements'!$I$9</f>
        <v>2009</v>
      </c>
      <c r="FX7" s="1243"/>
      <c r="FY7" s="1243"/>
      <c r="FZ7" s="1244"/>
      <c r="GA7" s="1242">
        <f>'Aides traitements'!$I$10</f>
        <v>2014</v>
      </c>
      <c r="GB7" s="1243"/>
      <c r="GC7" s="1243"/>
      <c r="GD7" s="1244"/>
      <c r="GE7" s="1248">
        <f>'Aides traitements'!$I$11</f>
        <v>2020</v>
      </c>
      <c r="GF7" s="1249"/>
      <c r="GG7" s="1249"/>
      <c r="GH7" s="1250"/>
      <c r="GJ7" s="139"/>
      <c r="GK7" s="1317" t="s">
        <v>50</v>
      </c>
      <c r="GL7" s="1318"/>
      <c r="GM7" s="1318"/>
      <c r="GN7" s="765"/>
      <c r="GO7" s="139"/>
      <c r="GP7" s="1285">
        <f>'Aides traitements'!$I$9</f>
        <v>2009</v>
      </c>
      <c r="GQ7" s="1256"/>
      <c r="GR7" s="1257"/>
      <c r="GS7" s="1285">
        <f>'Aides traitements'!$I$10</f>
        <v>2014</v>
      </c>
      <c r="GT7" s="1256"/>
      <c r="GU7" s="1257"/>
      <c r="GV7" s="1245">
        <f>'Aides traitements'!$I$11</f>
        <v>2020</v>
      </c>
      <c r="GW7" s="1246"/>
      <c r="GX7" s="1247"/>
      <c r="GZ7" s="139"/>
      <c r="HA7" s="1285">
        <f>'Aides traitements'!$I$9</f>
        <v>2009</v>
      </c>
      <c r="HB7" s="1256"/>
      <c r="HC7" s="1257"/>
      <c r="HD7" s="1285">
        <f>'Aides traitements'!$I$10</f>
        <v>2014</v>
      </c>
      <c r="HE7" s="1256"/>
      <c r="HF7" s="1257"/>
      <c r="HG7" s="1245">
        <f>'Aides traitements'!$I$11</f>
        <v>2020</v>
      </c>
      <c r="HH7" s="1246"/>
      <c r="HI7" s="1247"/>
      <c r="HK7" s="63"/>
      <c r="HL7" s="1258">
        <f>'Aides traitements'!$I$9</f>
        <v>2009</v>
      </c>
      <c r="HM7" s="1311"/>
      <c r="HN7" s="1311"/>
      <c r="HO7" s="1278">
        <f>'Aides traitements'!$I$10</f>
        <v>2014</v>
      </c>
      <c r="HP7" s="1278"/>
      <c r="HQ7" s="1256"/>
      <c r="HR7" s="1245">
        <f>'Aides traitements'!$I$11</f>
        <v>2020</v>
      </c>
      <c r="HS7" s="1246"/>
      <c r="HT7" s="1247"/>
      <c r="HU7" s="768"/>
      <c r="HV7" s="139"/>
      <c r="HW7" s="1285">
        <f>'Aides traitements'!$I$9</f>
        <v>2009</v>
      </c>
      <c r="HX7" s="1256"/>
      <c r="HY7" s="1256"/>
      <c r="HZ7" s="1256"/>
      <c r="IA7" s="1256"/>
      <c r="IB7" s="1256"/>
      <c r="IC7" s="1285">
        <f>'Aides traitements'!$I$10</f>
        <v>2014</v>
      </c>
      <c r="ID7" s="1256"/>
      <c r="IE7" s="1256"/>
      <c r="IF7" s="1256"/>
      <c r="IG7" s="1256"/>
      <c r="IH7" s="1256"/>
      <c r="II7" s="1293">
        <f>'Aides traitements'!$I$11</f>
        <v>2020</v>
      </c>
      <c r="IJ7" s="1293"/>
      <c r="IK7" s="1293"/>
      <c r="IL7" s="1293"/>
      <c r="IM7" s="1293"/>
      <c r="IN7" s="1293"/>
      <c r="IP7" s="139"/>
      <c r="IQ7" s="1242">
        <f>'Aides traitements'!$I$9</f>
        <v>2009</v>
      </c>
      <c r="IR7" s="1243"/>
      <c r="IS7" s="1243"/>
      <c r="IT7" s="1243"/>
      <c r="IU7" s="1243"/>
      <c r="IV7" s="1244"/>
      <c r="IW7" s="1242">
        <f>'Aides traitements'!$I$10</f>
        <v>2014</v>
      </c>
      <c r="IX7" s="1243"/>
      <c r="IY7" s="1243"/>
      <c r="IZ7" s="1243"/>
      <c r="JA7" s="1243"/>
      <c r="JB7" s="1244"/>
      <c r="JC7" s="1262">
        <f>'Aides traitements'!$I$11</f>
        <v>2020</v>
      </c>
      <c r="JD7" s="1262"/>
      <c r="JE7" s="1262"/>
      <c r="JF7" s="1262"/>
      <c r="JG7" s="1262"/>
      <c r="JH7" s="1262"/>
      <c r="JJ7" s="139"/>
      <c r="JK7" s="1242">
        <f>'Aides traitements'!$I$9</f>
        <v>2009</v>
      </c>
      <c r="JL7" s="1260"/>
      <c r="JM7" s="1260"/>
      <c r="JN7" s="1261"/>
      <c r="JO7" s="1242">
        <f>'Aides traitements'!$I$10</f>
        <v>2014</v>
      </c>
      <c r="JP7" s="1260"/>
      <c r="JQ7" s="1260"/>
      <c r="JR7" s="1261"/>
      <c r="JS7" s="1262">
        <f>'Aides traitements'!$I$11</f>
        <v>2020</v>
      </c>
      <c r="JT7" s="1262"/>
      <c r="JU7" s="1262"/>
      <c r="JV7" s="1262"/>
      <c r="JX7" s="139"/>
      <c r="JY7" s="63"/>
      <c r="JZ7" s="63"/>
      <c r="KA7" s="63"/>
      <c r="KB7" s="63"/>
      <c r="KC7" s="63"/>
      <c r="KD7" s="75"/>
      <c r="KE7" s="1251" t="s">
        <v>375</v>
      </c>
      <c r="KF7" s="1252"/>
      <c r="KG7" s="1252"/>
      <c r="KH7" s="1252"/>
      <c r="KI7" s="1252"/>
      <c r="KJ7" s="1253"/>
      <c r="KK7" s="1251" t="s">
        <v>376</v>
      </c>
      <c r="KL7" s="1252"/>
      <c r="KM7" s="1252"/>
      <c r="KN7" s="1252"/>
      <c r="KO7" s="1252"/>
      <c r="KP7" s="1253"/>
      <c r="KQ7" s="1251" t="s">
        <v>377</v>
      </c>
      <c r="KR7" s="1252"/>
      <c r="KS7" s="1252"/>
      <c r="KT7" s="1252"/>
      <c r="KU7" s="1252"/>
      <c r="KV7" s="1253"/>
      <c r="KX7" s="139"/>
      <c r="KY7" s="1285">
        <f>'Aides traitements'!$I$9</f>
        <v>2009</v>
      </c>
      <c r="KZ7" s="1292"/>
      <c r="LA7" s="1300"/>
      <c r="LB7" s="1285">
        <f>+'Aides traitements'!$I$10</f>
        <v>2014</v>
      </c>
      <c r="LC7" s="1292"/>
      <c r="LD7" s="1300"/>
      <c r="LE7" s="1245">
        <f>+'Aides traitements'!$I$11</f>
        <v>2020</v>
      </c>
      <c r="LF7" s="1246"/>
      <c r="LG7" s="1247"/>
      <c r="LI7" s="139"/>
      <c r="LJ7" s="1240">
        <f>'Aides traitements'!$I$9</f>
        <v>2009</v>
      </c>
      <c r="LK7" s="1241"/>
      <c r="LL7" s="1241"/>
      <c r="LM7" s="1241"/>
      <c r="LN7" s="1241"/>
      <c r="LO7" s="1254"/>
      <c r="LP7" s="1240">
        <f>'Aides traitements'!$I$10</f>
        <v>2014</v>
      </c>
      <c r="LQ7" s="1241"/>
      <c r="LR7" s="1241"/>
      <c r="LS7" s="1241"/>
      <c r="LT7" s="1241"/>
      <c r="LU7" s="1254"/>
      <c r="LV7" s="1280">
        <f>'Aides traitements'!$I$11</f>
        <v>2020</v>
      </c>
      <c r="LW7" s="1280"/>
      <c r="LX7" s="1280"/>
      <c r="LY7" s="1280"/>
      <c r="LZ7" s="1280"/>
      <c r="MA7" s="1280"/>
      <c r="MC7" s="139"/>
      <c r="MD7" s="1277">
        <f>'Aides traitements'!$I$9</f>
        <v>2009</v>
      </c>
      <c r="ME7" s="1278"/>
      <c r="MF7" s="1278"/>
      <c r="MG7" s="1278"/>
      <c r="MH7" s="1278"/>
      <c r="MI7" s="1279"/>
      <c r="MJ7" s="1277">
        <f>'Aides traitements'!$I$10</f>
        <v>2014</v>
      </c>
      <c r="MK7" s="1278"/>
      <c r="ML7" s="1278"/>
      <c r="MM7" s="1278"/>
      <c r="MN7" s="1278"/>
      <c r="MO7" s="1279"/>
      <c r="MP7" s="1280">
        <f>'Aides traitements'!$I$11</f>
        <v>2020</v>
      </c>
      <c r="MQ7" s="1280"/>
      <c r="MR7" s="1280"/>
      <c r="MS7" s="1280"/>
      <c r="MT7" s="1280"/>
      <c r="MU7" s="1280"/>
      <c r="MW7" s="139"/>
      <c r="MX7" s="1240">
        <f>'Aides traitements'!$I$9</f>
        <v>2009</v>
      </c>
      <c r="MY7" s="1241"/>
      <c r="MZ7" s="1254"/>
      <c r="NA7" s="1240">
        <f>'Aides traitements'!$I$10</f>
        <v>2014</v>
      </c>
      <c r="NB7" s="1241"/>
      <c r="NC7" s="1254"/>
      <c r="ND7" s="1280">
        <f>'Aides traitements'!$I$11</f>
        <v>2020</v>
      </c>
      <c r="NE7" s="1280"/>
      <c r="NF7" s="1280"/>
      <c r="NH7" s="139"/>
      <c r="NI7" s="1375" t="s">
        <v>66</v>
      </c>
      <c r="NJ7" s="1376"/>
      <c r="NK7" s="1240" t="s">
        <v>67</v>
      </c>
      <c r="NL7" s="1241"/>
      <c r="NM7" s="1254"/>
      <c r="NN7" s="1348" t="s">
        <v>66</v>
      </c>
      <c r="NO7" s="1349"/>
      <c r="NP7" s="1304" t="s">
        <v>67</v>
      </c>
      <c r="NQ7" s="1305"/>
      <c r="NR7" s="1306"/>
      <c r="NT7" s="139"/>
      <c r="NU7" s="1363">
        <f>'Aides traitements'!$I$10</f>
        <v>2014</v>
      </c>
      <c r="NV7" s="1364"/>
      <c r="NW7" s="1364"/>
      <c r="NX7" s="1365"/>
      <c r="NY7" s="1280">
        <f>'Aides traitements'!$I$11</f>
        <v>2020</v>
      </c>
      <c r="NZ7" s="1280"/>
      <c r="OA7" s="1280"/>
      <c r="OB7" s="1280"/>
      <c r="OD7" s="139"/>
      <c r="OE7" s="1368" t="s">
        <v>283</v>
      </c>
      <c r="OF7" s="1369"/>
      <c r="OG7" s="1369"/>
      <c r="OH7" s="1369"/>
      <c r="OI7" s="1369"/>
      <c r="OJ7" s="1369"/>
      <c r="OK7" s="1370"/>
      <c r="OL7" s="1368" t="s">
        <v>432</v>
      </c>
      <c r="OM7" s="1369"/>
      <c r="ON7" s="1369"/>
      <c r="OO7" s="1369"/>
      <c r="OP7" s="1369"/>
      <c r="OQ7" s="1369"/>
      <c r="OR7" s="1370"/>
      <c r="OT7" s="139"/>
      <c r="OU7" s="1328">
        <f>'Aides traitements'!$I$9</f>
        <v>2009</v>
      </c>
      <c r="OV7" s="1371"/>
      <c r="OW7" s="1371"/>
      <c r="OX7" s="1372"/>
      <c r="OY7" s="1328">
        <f>'Aides traitements'!$I$10</f>
        <v>2014</v>
      </c>
      <c r="OZ7" s="1371"/>
      <c r="PA7" s="1371"/>
      <c r="PB7" s="1372"/>
      <c r="PC7" s="1351">
        <f>'Aides traitements'!$I$11</f>
        <v>2020</v>
      </c>
      <c r="PD7" s="1351"/>
      <c r="PE7" s="1351"/>
      <c r="PF7" s="1351"/>
      <c r="PH7" s="139"/>
      <c r="PI7" s="1352" t="s">
        <v>434</v>
      </c>
      <c r="PJ7" s="1353"/>
      <c r="PK7" s="1353"/>
      <c r="PL7" s="1354"/>
      <c r="PM7" s="1355" t="s">
        <v>438</v>
      </c>
      <c r="PN7" s="1356"/>
      <c r="PO7" s="1356"/>
      <c r="PP7" s="1357"/>
      <c r="PR7" s="65"/>
      <c r="PS7" s="65"/>
      <c r="PT7" s="65"/>
      <c r="PU7" s="65"/>
      <c r="PV7" s="65"/>
      <c r="PZ7" s="65"/>
      <c r="QA7" s="65"/>
      <c r="QB7" s="65"/>
      <c r="QC7" s="65"/>
      <c r="QE7" s="65"/>
    </row>
    <row r="8" spans="1:448" ht="89.4" customHeight="1">
      <c r="A8" s="139"/>
      <c r="B8" s="427"/>
      <c r="C8" s="1102">
        <f>'Aides traitements'!I9</f>
        <v>2009</v>
      </c>
      <c r="D8" s="353">
        <f>'Aides traitements'!I10</f>
        <v>2014</v>
      </c>
      <c r="E8" s="354">
        <f>'Aides traitements'!$I$11</f>
        <v>2020</v>
      </c>
      <c r="F8" s="428"/>
      <c r="G8" s="427"/>
      <c r="H8" s="539" t="s">
        <v>721</v>
      </c>
      <c r="I8" s="614" t="s">
        <v>722</v>
      </c>
      <c r="J8" s="615"/>
      <c r="K8" s="164"/>
      <c r="L8" s="427"/>
      <c r="M8" s="539">
        <v>2013</v>
      </c>
      <c r="N8" s="631">
        <v>2014</v>
      </c>
      <c r="O8" s="631">
        <v>2015</v>
      </c>
      <c r="P8" s="631">
        <v>2016</v>
      </c>
      <c r="Q8" s="631">
        <v>2017</v>
      </c>
      <c r="R8" s="631">
        <v>2018</v>
      </c>
      <c r="S8" s="631">
        <v>2019</v>
      </c>
      <c r="T8" s="631">
        <v>2020</v>
      </c>
      <c r="U8" s="631">
        <v>2021</v>
      </c>
      <c r="V8" s="631">
        <v>2022</v>
      </c>
      <c r="W8" s="631">
        <v>2023</v>
      </c>
      <c r="X8" s="427"/>
      <c r="Y8" s="659" t="s">
        <v>615</v>
      </c>
      <c r="Z8" s="660" t="s">
        <v>616</v>
      </c>
      <c r="AA8" s="660" t="s">
        <v>617</v>
      </c>
      <c r="AB8" s="660" t="s">
        <v>618</v>
      </c>
      <c r="AC8" s="1154" t="s">
        <v>713</v>
      </c>
      <c r="AD8" s="660" t="s">
        <v>619</v>
      </c>
      <c r="AE8" s="660" t="s">
        <v>620</v>
      </c>
      <c r="AF8" s="660" t="s">
        <v>621</v>
      </c>
      <c r="AG8" s="660" t="s">
        <v>714</v>
      </c>
      <c r="AH8" s="164"/>
      <c r="AI8" s="164"/>
      <c r="AJ8" s="139"/>
      <c r="AK8" s="164"/>
      <c r="AL8" s="164"/>
      <c r="AM8" s="164"/>
      <c r="AN8" s="427"/>
      <c r="AO8" s="414" t="s">
        <v>289</v>
      </c>
      <c r="AP8" s="355" t="s">
        <v>290</v>
      </c>
      <c r="AQ8" s="355" t="s">
        <v>291</v>
      </c>
      <c r="AR8" s="355" t="s">
        <v>292</v>
      </c>
      <c r="AS8" s="355" t="s">
        <v>77</v>
      </c>
      <c r="AT8" s="355" t="s">
        <v>78</v>
      </c>
      <c r="AU8" s="355" t="s">
        <v>204</v>
      </c>
      <c r="AV8" s="356" t="s">
        <v>293</v>
      </c>
      <c r="AW8" s="414" t="s">
        <v>289</v>
      </c>
      <c r="AX8" s="355" t="s">
        <v>290</v>
      </c>
      <c r="AY8" s="355" t="s">
        <v>291</v>
      </c>
      <c r="AZ8" s="355" t="s">
        <v>292</v>
      </c>
      <c r="BA8" s="355" t="s">
        <v>77</v>
      </c>
      <c r="BB8" s="355" t="s">
        <v>78</v>
      </c>
      <c r="BC8" s="355" t="s">
        <v>204</v>
      </c>
      <c r="BD8" s="356" t="s">
        <v>293</v>
      </c>
      <c r="BE8" s="357" t="s">
        <v>75</v>
      </c>
      <c r="BF8" s="358" t="s">
        <v>202</v>
      </c>
      <c r="BG8" s="358" t="s">
        <v>203</v>
      </c>
      <c r="BH8" s="358" t="s">
        <v>79</v>
      </c>
      <c r="BI8" s="358" t="s">
        <v>77</v>
      </c>
      <c r="BJ8" s="358" t="s">
        <v>78</v>
      </c>
      <c r="BK8" s="358" t="s">
        <v>204</v>
      </c>
      <c r="BL8" s="359" t="s">
        <v>205</v>
      </c>
      <c r="BM8" s="139"/>
      <c r="BN8" s="427"/>
      <c r="BO8" s="414" t="s">
        <v>332</v>
      </c>
      <c r="BP8" s="415" t="s">
        <v>333</v>
      </c>
      <c r="BQ8" s="415" t="s">
        <v>334</v>
      </c>
      <c r="BR8" s="415" t="s">
        <v>335</v>
      </c>
      <c r="BS8" s="415" t="s">
        <v>337</v>
      </c>
      <c r="BT8" s="415" t="s">
        <v>336</v>
      </c>
      <c r="BU8" s="414" t="s">
        <v>332</v>
      </c>
      <c r="BV8" s="415" t="s">
        <v>333</v>
      </c>
      <c r="BW8" s="415" t="s">
        <v>334</v>
      </c>
      <c r="BX8" s="415" t="s">
        <v>335</v>
      </c>
      <c r="BY8" s="415" t="s">
        <v>337</v>
      </c>
      <c r="BZ8" s="415" t="s">
        <v>336</v>
      </c>
      <c r="CA8" s="422" t="s">
        <v>332</v>
      </c>
      <c r="CB8" s="423" t="s">
        <v>333</v>
      </c>
      <c r="CC8" s="423" t="s">
        <v>334</v>
      </c>
      <c r="CD8" s="423" t="s">
        <v>335</v>
      </c>
      <c r="CE8" s="423" t="s">
        <v>337</v>
      </c>
      <c r="CF8" s="424" t="s">
        <v>336</v>
      </c>
      <c r="CG8" s="360"/>
      <c r="CH8" s="427"/>
      <c r="CI8" s="361" t="s">
        <v>53</v>
      </c>
      <c r="CJ8" s="355" t="s">
        <v>54</v>
      </c>
      <c r="CK8" s="356" t="s">
        <v>55</v>
      </c>
      <c r="CL8" s="361" t="s">
        <v>53</v>
      </c>
      <c r="CM8" s="355" t="s">
        <v>54</v>
      </c>
      <c r="CN8" s="356" t="s">
        <v>55</v>
      </c>
      <c r="CO8" s="397" t="s">
        <v>53</v>
      </c>
      <c r="CP8" s="398" t="s">
        <v>54</v>
      </c>
      <c r="CQ8" s="399" t="s">
        <v>55</v>
      </c>
      <c r="CR8" s="360"/>
      <c r="CT8" s="362" t="str">
        <f>CONCATENATE($DB7," Hommes")</f>
        <v>Paul Bert Hommes</v>
      </c>
      <c r="CU8" s="362" t="str">
        <f>CONCATENATE($DB$7," Femmes")</f>
        <v>Paul Bert Femmes</v>
      </c>
      <c r="CV8" s="362" t="str">
        <f>CONCATENATE($DD7," Hommes")</f>
        <v>Tours nord Hommes</v>
      </c>
      <c r="CW8" s="362" t="str">
        <f>CONCATENATE($DD$7," Femmes")</f>
        <v>Tours nord Femmes</v>
      </c>
      <c r="CX8" s="362" t="str">
        <f>CONCATENATE($DB7," Hommes")</f>
        <v>Paul Bert Hommes</v>
      </c>
      <c r="CY8" s="362" t="str">
        <f>CONCATENATE($DB$7," Femmes")</f>
        <v>Paul Bert Femmes</v>
      </c>
      <c r="CZ8" s="362" t="str">
        <f>CONCATENATE($DD7," Hommes")</f>
        <v>Tours nord Hommes</v>
      </c>
      <c r="DA8" s="362" t="str">
        <f>CONCATENATE($DD$7," Femmes")</f>
        <v>Tours nord Femmes</v>
      </c>
      <c r="DB8" s="400" t="str">
        <f>CONCATENATE($DB7," Hommes")</f>
        <v>Paul Bert Hommes</v>
      </c>
      <c r="DC8" s="400" t="str">
        <f>CONCATENATE($DB$7," Femmes")</f>
        <v>Paul Bert Femmes</v>
      </c>
      <c r="DD8" s="400" t="str">
        <f>CONCATENATE($DD7," Hommes")</f>
        <v>Tours nord Hommes</v>
      </c>
      <c r="DE8" s="400" t="str">
        <f>CONCATENATE($DD$7," Femmes")</f>
        <v>Tours nord Femmes</v>
      </c>
      <c r="DF8" s="537"/>
      <c r="DG8" s="1222"/>
      <c r="DH8" s="1158" t="s">
        <v>661</v>
      </c>
      <c r="DI8" s="1159" t="s">
        <v>654</v>
      </c>
      <c r="DJ8" s="1160" t="s">
        <v>655</v>
      </c>
      <c r="DK8" s="1160" t="s">
        <v>649</v>
      </c>
      <c r="DL8" s="1160" t="s">
        <v>650</v>
      </c>
      <c r="DM8" s="1161" t="s">
        <v>651</v>
      </c>
      <c r="DN8" s="537"/>
      <c r="DO8" s="427"/>
      <c r="DP8" s="699">
        <f>'Aides traitements'!$I$9</f>
        <v>2009</v>
      </c>
      <c r="DQ8" s="363">
        <f>'Aides traitements'!$I$10</f>
        <v>2014</v>
      </c>
      <c r="DR8" s="1162">
        <f>'Aides traitements'!$I$11</f>
        <v>2020</v>
      </c>
      <c r="DS8" s="164"/>
      <c r="DT8" s="427"/>
      <c r="DU8" s="699">
        <f>'Aides traitements'!$I$9</f>
        <v>2009</v>
      </c>
      <c r="DV8" s="363">
        <f>'Aides traitements'!$I$10</f>
        <v>2014</v>
      </c>
      <c r="DW8" s="1162">
        <f>'Aides traitements'!$I$11</f>
        <v>2020</v>
      </c>
      <c r="DX8" s="164"/>
      <c r="DY8" s="427"/>
      <c r="DZ8" s="699">
        <f>'Aides traitements'!$I$9</f>
        <v>2009</v>
      </c>
      <c r="EA8" s="363">
        <f>'Aides traitements'!$I$10</f>
        <v>2014</v>
      </c>
      <c r="EB8" s="700">
        <f>'Aides traitements'!$I$11</f>
        <v>2020</v>
      </c>
      <c r="EC8" s="427"/>
      <c r="ED8" s="139"/>
      <c r="EE8" s="427"/>
      <c r="EF8" s="364" t="s">
        <v>416</v>
      </c>
      <c r="EG8" s="365" t="s">
        <v>417</v>
      </c>
      <c r="EH8" s="365" t="s">
        <v>418</v>
      </c>
      <c r="EI8" s="365" t="s">
        <v>419</v>
      </c>
      <c r="EJ8" s="365" t="s">
        <v>420</v>
      </c>
      <c r="EK8" s="364" t="s">
        <v>416</v>
      </c>
      <c r="EL8" s="365" t="s">
        <v>417</v>
      </c>
      <c r="EM8" s="365" t="s">
        <v>418</v>
      </c>
      <c r="EN8" s="365" t="s">
        <v>419</v>
      </c>
      <c r="EO8" s="365" t="s">
        <v>420</v>
      </c>
      <c r="EP8" s="366" t="s">
        <v>416</v>
      </c>
      <c r="EQ8" s="367" t="s">
        <v>417</v>
      </c>
      <c r="ER8" s="367" t="s">
        <v>418</v>
      </c>
      <c r="ES8" s="367" t="s">
        <v>419</v>
      </c>
      <c r="ET8" s="368" t="s">
        <v>420</v>
      </c>
      <c r="EU8" s="139"/>
      <c r="EV8" s="427"/>
      <c r="EW8" s="369" t="s">
        <v>626</v>
      </c>
      <c r="EX8" s="370" t="s">
        <v>627</v>
      </c>
      <c r="EY8" s="370" t="s">
        <v>628</v>
      </c>
      <c r="EZ8" s="370" t="s">
        <v>629</v>
      </c>
      <c r="FA8" s="369" t="s">
        <v>626</v>
      </c>
      <c r="FB8" s="370" t="s">
        <v>627</v>
      </c>
      <c r="FC8" s="370" t="s">
        <v>628</v>
      </c>
      <c r="FD8" s="370" t="s">
        <v>629</v>
      </c>
      <c r="FE8" s="369" t="s">
        <v>626</v>
      </c>
      <c r="FF8" s="370" t="s">
        <v>627</v>
      </c>
      <c r="FG8" s="370" t="s">
        <v>628</v>
      </c>
      <c r="FH8" s="370" t="s">
        <v>629</v>
      </c>
      <c r="FI8" s="369" t="s">
        <v>626</v>
      </c>
      <c r="FJ8" s="370" t="s">
        <v>627</v>
      </c>
      <c r="FK8" s="370" t="s">
        <v>628</v>
      </c>
      <c r="FL8" s="370" t="s">
        <v>629</v>
      </c>
      <c r="FM8" s="1155" t="s">
        <v>626</v>
      </c>
      <c r="FN8" s="1156" t="s">
        <v>627</v>
      </c>
      <c r="FO8" s="1156" t="s">
        <v>628</v>
      </c>
      <c r="FP8" s="1157" t="s">
        <v>629</v>
      </c>
      <c r="FQ8" s="1155" t="s">
        <v>626</v>
      </c>
      <c r="FR8" s="1156" t="s">
        <v>627</v>
      </c>
      <c r="FS8" s="1156" t="s">
        <v>628</v>
      </c>
      <c r="FT8" s="1157" t="s">
        <v>629</v>
      </c>
      <c r="FU8" s="139"/>
      <c r="FV8" s="427"/>
      <c r="FW8" s="597" t="s">
        <v>56</v>
      </c>
      <c r="FX8" s="415" t="s">
        <v>57</v>
      </c>
      <c r="FY8" s="415" t="s">
        <v>58</v>
      </c>
      <c r="FZ8" s="415" t="s">
        <v>59</v>
      </c>
      <c r="GA8" s="414" t="s">
        <v>56</v>
      </c>
      <c r="GB8" s="415" t="s">
        <v>57</v>
      </c>
      <c r="GC8" s="415" t="s">
        <v>58</v>
      </c>
      <c r="GD8" s="415" t="s">
        <v>59</v>
      </c>
      <c r="GE8" s="419" t="s">
        <v>56</v>
      </c>
      <c r="GF8" s="420" t="s">
        <v>57</v>
      </c>
      <c r="GG8" s="420" t="s">
        <v>58</v>
      </c>
      <c r="GH8" s="421" t="s">
        <v>59</v>
      </c>
      <c r="GI8" s="139"/>
      <c r="GJ8" s="427"/>
      <c r="GK8" s="910">
        <f>'Aides traitements'!$I$9</f>
        <v>2009</v>
      </c>
      <c r="GL8" s="353">
        <f>'Aides traitements'!$I$10</f>
        <v>2014</v>
      </c>
      <c r="GM8" s="1153">
        <f>'Aides traitements'!$I$11</f>
        <v>2020</v>
      </c>
      <c r="GN8" s="139"/>
      <c r="GO8" s="427"/>
      <c r="GP8" s="361" t="s">
        <v>41</v>
      </c>
      <c r="GQ8" s="355" t="s">
        <v>344</v>
      </c>
      <c r="GR8" s="356" t="s">
        <v>343</v>
      </c>
      <c r="GS8" s="361" t="s">
        <v>41</v>
      </c>
      <c r="GT8" s="355" t="s">
        <v>344</v>
      </c>
      <c r="GU8" s="356" t="s">
        <v>343</v>
      </c>
      <c r="GV8" s="372" t="s">
        <v>442</v>
      </c>
      <c r="GW8" s="373" t="s">
        <v>443</v>
      </c>
      <c r="GX8" s="374" t="s">
        <v>285</v>
      </c>
      <c r="GY8" s="139"/>
      <c r="GZ8" s="427"/>
      <c r="HA8" s="361" t="s">
        <v>52</v>
      </c>
      <c r="HB8" s="355" t="s">
        <v>40</v>
      </c>
      <c r="HC8" s="356" t="s">
        <v>255</v>
      </c>
      <c r="HD8" s="361" t="s">
        <v>52</v>
      </c>
      <c r="HE8" s="355" t="s">
        <v>40</v>
      </c>
      <c r="HF8" s="356" t="s">
        <v>255</v>
      </c>
      <c r="HG8" s="372" t="s">
        <v>52</v>
      </c>
      <c r="HH8" s="373" t="s">
        <v>40</v>
      </c>
      <c r="HI8" s="374" t="s">
        <v>255</v>
      </c>
      <c r="HJ8" s="139"/>
      <c r="HK8" s="427"/>
      <c r="HL8" s="717" t="s">
        <v>41</v>
      </c>
      <c r="HM8" s="718" t="s">
        <v>353</v>
      </c>
      <c r="HN8" s="719" t="s">
        <v>636</v>
      </c>
      <c r="HO8" s="718" t="s">
        <v>41</v>
      </c>
      <c r="HP8" s="775" t="s">
        <v>353</v>
      </c>
      <c r="HQ8" s="775" t="s">
        <v>636</v>
      </c>
      <c r="HR8" s="1198" t="s">
        <v>41</v>
      </c>
      <c r="HS8" s="1199" t="s">
        <v>353</v>
      </c>
      <c r="HT8" s="1200" t="s">
        <v>636</v>
      </c>
      <c r="HU8" s="139"/>
      <c r="HV8" s="427"/>
      <c r="HW8" s="720" t="s">
        <v>52</v>
      </c>
      <c r="HX8" s="722" t="s">
        <v>630</v>
      </c>
      <c r="HY8" s="770" t="s">
        <v>632</v>
      </c>
      <c r="HZ8" s="722" t="s">
        <v>40</v>
      </c>
      <c r="IA8" s="722" t="s">
        <v>631</v>
      </c>
      <c r="IB8" s="771" t="s">
        <v>633</v>
      </c>
      <c r="IC8" s="720" t="s">
        <v>52</v>
      </c>
      <c r="ID8" s="722" t="s">
        <v>630</v>
      </c>
      <c r="IE8" s="770" t="s">
        <v>632</v>
      </c>
      <c r="IF8" s="722" t="s">
        <v>40</v>
      </c>
      <c r="IG8" s="722" t="s">
        <v>631</v>
      </c>
      <c r="IH8" s="771" t="s">
        <v>633</v>
      </c>
      <c r="II8" s="372" t="s">
        <v>52</v>
      </c>
      <c r="IJ8" s="373" t="s">
        <v>634</v>
      </c>
      <c r="IK8" s="373" t="s">
        <v>632</v>
      </c>
      <c r="IL8" s="373" t="s">
        <v>40</v>
      </c>
      <c r="IM8" s="373" t="s">
        <v>631</v>
      </c>
      <c r="IN8" s="374" t="s">
        <v>635</v>
      </c>
      <c r="IO8" s="139"/>
      <c r="IP8" s="1174"/>
      <c r="IQ8" s="414" t="s">
        <v>208</v>
      </c>
      <c r="IR8" s="415" t="s">
        <v>209</v>
      </c>
      <c r="IS8" s="415" t="s">
        <v>210</v>
      </c>
      <c r="IT8" s="415" t="s">
        <v>211</v>
      </c>
      <c r="IU8" s="415" t="s">
        <v>212</v>
      </c>
      <c r="IV8" s="415" t="s">
        <v>353</v>
      </c>
      <c r="IW8" s="414" t="s">
        <v>208</v>
      </c>
      <c r="IX8" s="415" t="s">
        <v>209</v>
      </c>
      <c r="IY8" s="415" t="s">
        <v>210</v>
      </c>
      <c r="IZ8" s="415" t="s">
        <v>211</v>
      </c>
      <c r="JA8" s="415" t="s">
        <v>212</v>
      </c>
      <c r="JB8" s="415" t="s">
        <v>353</v>
      </c>
      <c r="JC8" s="416" t="s">
        <v>208</v>
      </c>
      <c r="JD8" s="417" t="s">
        <v>209</v>
      </c>
      <c r="JE8" s="417" t="s">
        <v>210</v>
      </c>
      <c r="JF8" s="417" t="s">
        <v>211</v>
      </c>
      <c r="JG8" s="417" t="s">
        <v>212</v>
      </c>
      <c r="JH8" s="418" t="s">
        <v>353</v>
      </c>
      <c r="JI8" s="139"/>
      <c r="JJ8" s="1174"/>
      <c r="JK8" s="414" t="s">
        <v>42</v>
      </c>
      <c r="JL8" s="967" t="s">
        <v>45</v>
      </c>
      <c r="JM8" s="415" t="s">
        <v>43</v>
      </c>
      <c r="JN8" s="415" t="s">
        <v>44</v>
      </c>
      <c r="JO8" s="414" t="s">
        <v>42</v>
      </c>
      <c r="JP8" s="415" t="s">
        <v>45</v>
      </c>
      <c r="JQ8" s="415" t="s">
        <v>43</v>
      </c>
      <c r="JR8" s="415" t="s">
        <v>44</v>
      </c>
      <c r="JS8" s="416" t="s">
        <v>42</v>
      </c>
      <c r="JT8" s="417" t="s">
        <v>45</v>
      </c>
      <c r="JU8" s="417" t="s">
        <v>43</v>
      </c>
      <c r="JV8" s="418" t="s">
        <v>44</v>
      </c>
      <c r="JW8" s="139"/>
      <c r="JX8" s="1174"/>
      <c r="JY8" s="758" t="s">
        <v>47</v>
      </c>
      <c r="JZ8" s="759" t="s">
        <v>48</v>
      </c>
      <c r="KA8" s="759" t="s">
        <v>49</v>
      </c>
      <c r="KB8" s="760" t="s">
        <v>614</v>
      </c>
      <c r="KC8" s="602"/>
      <c r="KD8" s="537"/>
      <c r="KE8" s="375" t="s">
        <v>296</v>
      </c>
      <c r="KF8" s="376" t="s">
        <v>297</v>
      </c>
      <c r="KG8" s="376" t="s">
        <v>298</v>
      </c>
      <c r="KH8" s="376" t="s">
        <v>299</v>
      </c>
      <c r="KI8" s="376" t="s">
        <v>300</v>
      </c>
      <c r="KJ8" s="376" t="s">
        <v>724</v>
      </c>
      <c r="KK8" s="375" t="s">
        <v>296</v>
      </c>
      <c r="KL8" s="376" t="s">
        <v>297</v>
      </c>
      <c r="KM8" s="376" t="s">
        <v>298</v>
      </c>
      <c r="KN8" s="376" t="s">
        <v>299</v>
      </c>
      <c r="KO8" s="376" t="s">
        <v>300</v>
      </c>
      <c r="KP8" s="376" t="s">
        <v>724</v>
      </c>
      <c r="KQ8" s="375" t="s">
        <v>296</v>
      </c>
      <c r="KR8" s="376" t="s">
        <v>297</v>
      </c>
      <c r="KS8" s="376" t="s">
        <v>298</v>
      </c>
      <c r="KT8" s="376" t="s">
        <v>299</v>
      </c>
      <c r="KU8" s="376" t="s">
        <v>300</v>
      </c>
      <c r="KV8" s="1167" t="s">
        <v>724</v>
      </c>
      <c r="KW8" s="139"/>
      <c r="KX8" s="427"/>
      <c r="KY8" s="361" t="s">
        <v>80</v>
      </c>
      <c r="KZ8" s="355" t="s">
        <v>81</v>
      </c>
      <c r="LA8" s="356" t="s">
        <v>82</v>
      </c>
      <c r="LB8" s="361" t="s">
        <v>80</v>
      </c>
      <c r="LC8" s="355" t="s">
        <v>81</v>
      </c>
      <c r="LD8" s="356" t="s">
        <v>82</v>
      </c>
      <c r="LE8" s="372" t="s">
        <v>80</v>
      </c>
      <c r="LF8" s="373" t="s">
        <v>81</v>
      </c>
      <c r="LG8" s="374" t="s">
        <v>82</v>
      </c>
      <c r="LH8" s="139"/>
      <c r="LI8" s="427"/>
      <c r="LJ8" s="369" t="s">
        <v>222</v>
      </c>
      <c r="LK8" s="370" t="s">
        <v>192</v>
      </c>
      <c r="LL8" s="370" t="s">
        <v>220</v>
      </c>
      <c r="LM8" s="370" t="s">
        <v>459</v>
      </c>
      <c r="LN8" s="370" t="s">
        <v>262</v>
      </c>
      <c r="LO8" s="371" t="s">
        <v>221</v>
      </c>
      <c r="LP8" s="763" t="s">
        <v>222</v>
      </c>
      <c r="LQ8" s="370" t="s">
        <v>192</v>
      </c>
      <c r="LR8" s="370" t="s">
        <v>220</v>
      </c>
      <c r="LS8" s="370" t="s">
        <v>459</v>
      </c>
      <c r="LT8" s="370" t="s">
        <v>262</v>
      </c>
      <c r="LU8" s="371" t="s">
        <v>221</v>
      </c>
      <c r="LV8" s="378" t="s">
        <v>222</v>
      </c>
      <c r="LW8" s="379" t="s">
        <v>192</v>
      </c>
      <c r="LX8" s="379" t="s">
        <v>220</v>
      </c>
      <c r="LY8" s="379" t="s">
        <v>459</v>
      </c>
      <c r="LZ8" s="379" t="s">
        <v>262</v>
      </c>
      <c r="MA8" s="380" t="s">
        <v>221</v>
      </c>
      <c r="MB8" s="139"/>
      <c r="MC8" s="530"/>
      <c r="MD8" s="369" t="s">
        <v>75</v>
      </c>
      <c r="ME8" s="370" t="s">
        <v>263</v>
      </c>
      <c r="MF8" s="370" t="s">
        <v>264</v>
      </c>
      <c r="MG8" s="370" t="s">
        <v>79</v>
      </c>
      <c r="MH8" s="370" t="s">
        <v>77</v>
      </c>
      <c r="MI8" s="371" t="s">
        <v>78</v>
      </c>
      <c r="MJ8" s="369" t="s">
        <v>75</v>
      </c>
      <c r="MK8" s="370" t="s">
        <v>263</v>
      </c>
      <c r="ML8" s="370" t="s">
        <v>264</v>
      </c>
      <c r="MM8" s="370" t="s">
        <v>79</v>
      </c>
      <c r="MN8" s="370" t="s">
        <v>77</v>
      </c>
      <c r="MO8" s="371" t="s">
        <v>78</v>
      </c>
      <c r="MP8" s="378" t="s">
        <v>75</v>
      </c>
      <c r="MQ8" s="379" t="s">
        <v>263</v>
      </c>
      <c r="MR8" s="379" t="s">
        <v>264</v>
      </c>
      <c r="MS8" s="379" t="s">
        <v>79</v>
      </c>
      <c r="MT8" s="379" t="s">
        <v>77</v>
      </c>
      <c r="MU8" s="380" t="s">
        <v>78</v>
      </c>
      <c r="MV8" s="139"/>
      <c r="MW8" s="427"/>
      <c r="MX8" s="408" t="s">
        <v>110</v>
      </c>
      <c r="MY8" s="409" t="s">
        <v>66</v>
      </c>
      <c r="MZ8" s="410" t="s">
        <v>67</v>
      </c>
      <c r="NA8" s="408" t="s">
        <v>110</v>
      </c>
      <c r="NB8" s="409" t="s">
        <v>66</v>
      </c>
      <c r="NC8" s="410" t="s">
        <v>67</v>
      </c>
      <c r="ND8" s="411" t="s">
        <v>110</v>
      </c>
      <c r="NE8" s="412" t="s">
        <v>66</v>
      </c>
      <c r="NF8" s="413" t="s">
        <v>67</v>
      </c>
      <c r="NG8" s="139"/>
      <c r="NH8" s="1174"/>
      <c r="NI8" s="408" t="s">
        <v>445</v>
      </c>
      <c r="NJ8" s="409" t="s">
        <v>446</v>
      </c>
      <c r="NK8" s="408" t="s">
        <v>68</v>
      </c>
      <c r="NL8" s="409" t="s">
        <v>69</v>
      </c>
      <c r="NM8" s="410" t="s">
        <v>70</v>
      </c>
      <c r="NN8" s="411" t="s">
        <v>445</v>
      </c>
      <c r="NO8" s="412" t="s">
        <v>446</v>
      </c>
      <c r="NP8" s="411" t="s">
        <v>68</v>
      </c>
      <c r="NQ8" s="412" t="s">
        <v>69</v>
      </c>
      <c r="NR8" s="413" t="s">
        <v>70</v>
      </c>
      <c r="NS8" s="139"/>
      <c r="NT8" s="427"/>
      <c r="NU8" s="369" t="s">
        <v>71</v>
      </c>
      <c r="NV8" s="370" t="s">
        <v>72</v>
      </c>
      <c r="NW8" s="370" t="s">
        <v>73</v>
      </c>
      <c r="NX8" s="371" t="s">
        <v>74</v>
      </c>
      <c r="NY8" s="378" t="s">
        <v>71</v>
      </c>
      <c r="NZ8" s="379" t="s">
        <v>72</v>
      </c>
      <c r="OA8" s="379" t="s">
        <v>73</v>
      </c>
      <c r="OB8" s="380" t="s">
        <v>74</v>
      </c>
      <c r="OC8" s="139"/>
      <c r="OD8" s="427"/>
      <c r="OE8" s="816" t="s">
        <v>265</v>
      </c>
      <c r="OF8" s="817" t="s">
        <v>266</v>
      </c>
      <c r="OG8" s="817" t="s">
        <v>267</v>
      </c>
      <c r="OH8" s="817" t="s">
        <v>268</v>
      </c>
      <c r="OI8" s="817" t="s">
        <v>269</v>
      </c>
      <c r="OJ8" s="817" t="s">
        <v>270</v>
      </c>
      <c r="OK8" s="817" t="s">
        <v>271</v>
      </c>
      <c r="OL8" s="816" t="s">
        <v>265</v>
      </c>
      <c r="OM8" s="817" t="s">
        <v>266</v>
      </c>
      <c r="ON8" s="817" t="s">
        <v>267</v>
      </c>
      <c r="OO8" s="817" t="s">
        <v>268</v>
      </c>
      <c r="OP8" s="817" t="s">
        <v>269</v>
      </c>
      <c r="OQ8" s="817" t="s">
        <v>270</v>
      </c>
      <c r="OR8" s="818" t="s">
        <v>271</v>
      </c>
      <c r="OS8" s="139"/>
      <c r="OT8" s="427"/>
      <c r="OU8" s="369" t="s">
        <v>294</v>
      </c>
      <c r="OV8" s="370" t="s">
        <v>288</v>
      </c>
      <c r="OW8" s="370" t="s">
        <v>447</v>
      </c>
      <c r="OX8" s="371" t="s">
        <v>302</v>
      </c>
      <c r="OY8" s="369" t="s">
        <v>294</v>
      </c>
      <c r="OZ8" s="370" t="s">
        <v>288</v>
      </c>
      <c r="PA8" s="370" t="s">
        <v>447</v>
      </c>
      <c r="PB8" s="371" t="s">
        <v>302</v>
      </c>
      <c r="PC8" s="381" t="s">
        <v>294</v>
      </c>
      <c r="PD8" s="382" t="s">
        <v>288</v>
      </c>
      <c r="PE8" s="382" t="s">
        <v>447</v>
      </c>
      <c r="PF8" s="383" t="s">
        <v>302</v>
      </c>
      <c r="PG8" s="139"/>
      <c r="PH8" s="427"/>
      <c r="PI8" s="381" t="s">
        <v>294</v>
      </c>
      <c r="PJ8" s="382" t="s">
        <v>288</v>
      </c>
      <c r="PK8" s="382" t="s">
        <v>447</v>
      </c>
      <c r="PL8" s="383" t="s">
        <v>302</v>
      </c>
      <c r="PM8" s="381" t="s">
        <v>294</v>
      </c>
      <c r="PN8" s="382" t="s">
        <v>288</v>
      </c>
      <c r="PO8" s="382" t="s">
        <v>447</v>
      </c>
      <c r="PP8" s="383" t="s">
        <v>302</v>
      </c>
      <c r="PQ8" s="65"/>
      <c r="PR8" s="65"/>
      <c r="PS8" s="1180" t="s">
        <v>677</v>
      </c>
      <c r="PT8" s="1181" t="s">
        <v>678</v>
      </c>
      <c r="PU8" s="1181" t="s">
        <v>709</v>
      </c>
      <c r="PV8" s="1181" t="s">
        <v>710</v>
      </c>
      <c r="PW8" s="1181" t="s">
        <v>711</v>
      </c>
      <c r="PX8" s="1183" t="s">
        <v>712</v>
      </c>
      <c r="PZ8" s="65"/>
      <c r="QA8" s="1050" t="s">
        <v>699</v>
      </c>
      <c r="QB8" s="1051" t="s">
        <v>700</v>
      </c>
      <c r="QC8" s="1111" t="s">
        <v>695</v>
      </c>
      <c r="QD8" s="1111" t="s">
        <v>696</v>
      </c>
      <c r="QE8" s="1111" t="s">
        <v>697</v>
      </c>
      <c r="QF8" s="1112" t="s">
        <v>698</v>
      </c>
    </row>
    <row r="9" spans="1:448" ht="13.5" customHeight="1">
      <c r="A9" s="590" t="s">
        <v>474</v>
      </c>
      <c r="B9" s="166" t="s">
        <v>531</v>
      </c>
      <c r="C9" s="1103">
        <v>3679.9564380000002</v>
      </c>
      <c r="D9" s="688">
        <v>3565.6841114917534</v>
      </c>
      <c r="E9" s="689">
        <v>3337.83463235913</v>
      </c>
      <c r="F9" s="428"/>
      <c r="G9" s="168" t="s">
        <v>531</v>
      </c>
      <c r="H9" s="577">
        <f>(VLOOKUP($G9,$B$9:$E$91,3,FALSE)/VLOOKUP($G9,$B$9:$E$91,2,FALSE))^(1/5) -1</f>
        <v>-6.2891365734520921E-3</v>
      </c>
      <c r="I9" s="668">
        <f>(VLOOKUP($G9,$B$9:$E$91,4,FALSE)/VLOOKUP($G9,$B$9:$E$91,3,FALSE))^(1/5) -1</f>
        <v>-1.311990359645987E-2</v>
      </c>
      <c r="J9" s="612"/>
      <c r="K9" s="63"/>
      <c r="L9" s="166" t="s">
        <v>531</v>
      </c>
      <c r="M9" s="634">
        <v>29</v>
      </c>
      <c r="N9" s="635">
        <v>24</v>
      </c>
      <c r="O9" s="635">
        <v>35</v>
      </c>
      <c r="P9" s="635">
        <v>15</v>
      </c>
      <c r="Q9" s="635">
        <v>24</v>
      </c>
      <c r="R9" s="635">
        <v>16</v>
      </c>
      <c r="S9" s="635">
        <v>15</v>
      </c>
      <c r="T9" s="635">
        <v>24</v>
      </c>
      <c r="U9" s="1135">
        <v>11</v>
      </c>
      <c r="V9" s="1135">
        <v>16</v>
      </c>
      <c r="W9" s="1136">
        <v>21</v>
      </c>
      <c r="X9" s="168" t="s">
        <v>531</v>
      </c>
      <c r="Y9" s="665">
        <v>26.5</v>
      </c>
      <c r="Z9" s="657">
        <v>25</v>
      </c>
      <c r="AA9" s="657">
        <v>20</v>
      </c>
      <c r="AB9" s="657">
        <v>19.5</v>
      </c>
      <c r="AC9" s="667">
        <v>19.5</v>
      </c>
      <c r="AD9" s="658">
        <v>-5.6603773584905662E-2</v>
      </c>
      <c r="AE9" s="658">
        <v>-0.2</v>
      </c>
      <c r="AF9" s="658">
        <v>-2.5000000000000001E-2</v>
      </c>
      <c r="AG9" s="1212">
        <v>-0.2</v>
      </c>
      <c r="AL9" s="127"/>
      <c r="AN9" s="168" t="s">
        <v>531</v>
      </c>
      <c r="AO9" s="634">
        <v>0</v>
      </c>
      <c r="AP9" s="635">
        <v>138.429125</v>
      </c>
      <c r="AQ9" s="635">
        <v>559.48244099999999</v>
      </c>
      <c r="AR9" s="635">
        <v>533.90534500000001</v>
      </c>
      <c r="AS9" s="635">
        <v>441.07639599999999</v>
      </c>
      <c r="AT9" s="635">
        <v>239.640817</v>
      </c>
      <c r="AU9" s="635">
        <v>484.57572299999998</v>
      </c>
      <c r="AV9" s="611">
        <v>957.30446300000006</v>
      </c>
      <c r="AW9" s="634">
        <v>0</v>
      </c>
      <c r="AX9" s="635">
        <v>127.87100031127314</v>
      </c>
      <c r="AY9" s="635">
        <v>514.71083113943689</v>
      </c>
      <c r="AZ9" s="635">
        <v>520.87535593987263</v>
      </c>
      <c r="BA9" s="635">
        <v>419.44012456996302</v>
      </c>
      <c r="BB9" s="635">
        <v>197.75641110912611</v>
      </c>
      <c r="BC9" s="635">
        <v>527.22103834497489</v>
      </c>
      <c r="BD9" s="611">
        <v>974.95831295049481</v>
      </c>
      <c r="BE9" s="1134">
        <v>0</v>
      </c>
      <c r="BF9" s="1135">
        <v>166.57384725607801</v>
      </c>
      <c r="BG9" s="1135">
        <v>466.25604741337798</v>
      </c>
      <c r="BH9" s="1135">
        <v>438.48316594917401</v>
      </c>
      <c r="BI9" s="1135">
        <v>391.75036983607401</v>
      </c>
      <c r="BJ9" s="1135">
        <v>138.37018881086999</v>
      </c>
      <c r="BK9" s="1135">
        <v>558.94194407750899</v>
      </c>
      <c r="BL9" s="1136">
        <v>943.24843230105898</v>
      </c>
      <c r="BN9" s="168" t="s">
        <v>531</v>
      </c>
      <c r="BO9" s="651">
        <v>324.54212999999999</v>
      </c>
      <c r="BP9" s="652">
        <v>1608.142826</v>
      </c>
      <c r="BQ9" s="652">
        <v>641.02073600000006</v>
      </c>
      <c r="BR9" s="652">
        <v>534.24482699999999</v>
      </c>
      <c r="BS9" s="652">
        <v>297.83595300000002</v>
      </c>
      <c r="BT9" s="611">
        <v>274.16996699999999</v>
      </c>
      <c r="BU9" s="651">
        <v>284.85103556358609</v>
      </c>
      <c r="BV9" s="652">
        <v>1633.0194466472124</v>
      </c>
      <c r="BW9" s="652">
        <v>583.1411984717605</v>
      </c>
      <c r="BX9" s="652">
        <v>369.26515271960017</v>
      </c>
      <c r="BY9" s="652">
        <v>377.37125579159613</v>
      </c>
      <c r="BZ9" s="611">
        <v>318.0360222979981</v>
      </c>
      <c r="CA9" s="1134">
        <v>247.210649914995</v>
      </c>
      <c r="CB9" s="1135">
        <v>1441.0479262850499</v>
      </c>
      <c r="CC9" s="1135">
        <v>479.371503486623</v>
      </c>
      <c r="CD9" s="1135">
        <v>464.63672560171898</v>
      </c>
      <c r="CE9" s="1135">
        <v>411.17776086632301</v>
      </c>
      <c r="CF9" s="1136">
        <v>294.39006620442302</v>
      </c>
      <c r="CG9" s="429"/>
      <c r="CH9" s="168" t="s">
        <v>531</v>
      </c>
      <c r="CI9" s="338">
        <v>800.00583900000004</v>
      </c>
      <c r="CJ9" s="339">
        <v>2411.485831</v>
      </c>
      <c r="CK9" s="339">
        <v>468.46476899999999</v>
      </c>
      <c r="CL9" s="651">
        <v>815.09972885592038</v>
      </c>
      <c r="CM9" s="652">
        <v>2214.0239497037901</v>
      </c>
      <c r="CN9" s="652">
        <v>536.56043293204311</v>
      </c>
      <c r="CO9" s="1134">
        <v>707.35948182001698</v>
      </c>
      <c r="CP9" s="1135">
        <v>2046.8967279061501</v>
      </c>
      <c r="CQ9" s="1136">
        <v>583.57842263296504</v>
      </c>
      <c r="CR9" s="429"/>
      <c r="CS9" s="231" t="s">
        <v>642</v>
      </c>
      <c r="CT9" s="130">
        <v>-132.440517</v>
      </c>
      <c r="CU9" s="130">
        <v>145.466802</v>
      </c>
      <c r="CV9" s="130">
        <v>-1007.204683</v>
      </c>
      <c r="CW9" s="130">
        <v>848.72834900000009</v>
      </c>
      <c r="CX9" s="130">
        <v>-129.24629109984889</v>
      </c>
      <c r="CY9" s="130">
        <v>128.32938440740989</v>
      </c>
      <c r="CZ9" s="130">
        <v>-1012.3299472830737</v>
      </c>
      <c r="DA9" s="130">
        <v>1057.5410855973209</v>
      </c>
      <c r="DB9" s="130">
        <v>-133.020315829353</v>
      </c>
      <c r="DC9" s="130">
        <v>133.59829909375901</v>
      </c>
      <c r="DD9" s="130">
        <v>-1003.0865277145622</v>
      </c>
      <c r="DE9" s="291">
        <v>927.43777416272974</v>
      </c>
      <c r="DF9" s="723"/>
      <c r="DG9" s="168" t="s">
        <v>531</v>
      </c>
      <c r="DH9" s="1146" t="s">
        <v>725</v>
      </c>
      <c r="DI9" s="1150" t="s">
        <v>777</v>
      </c>
      <c r="DJ9" s="704" t="s">
        <v>778</v>
      </c>
      <c r="DK9" s="704" t="s">
        <v>779</v>
      </c>
      <c r="DL9" s="704" t="s">
        <v>780</v>
      </c>
      <c r="DM9" s="174" t="s">
        <v>781</v>
      </c>
      <c r="DN9" s="451"/>
      <c r="DO9" s="166" t="s">
        <v>531</v>
      </c>
      <c r="DP9" s="702">
        <v>2342.7945490000002</v>
      </c>
      <c r="DQ9" s="339">
        <v>2363.5007750827508</v>
      </c>
      <c r="DR9" s="1136">
        <v>2283.1036649428702</v>
      </c>
      <c r="DS9" s="63"/>
      <c r="DT9" s="168" t="s">
        <v>531</v>
      </c>
      <c r="DU9" s="338">
        <v>3536.9566129999998</v>
      </c>
      <c r="DV9" s="339">
        <v>3447.684203710256</v>
      </c>
      <c r="DW9" s="1136">
        <v>3239.8345328514001</v>
      </c>
      <c r="DX9" s="63"/>
      <c r="DY9" s="168" t="s">
        <v>531</v>
      </c>
      <c r="DZ9" s="1088">
        <f t="shared" ref="DZ9:DZ40" si="0">VLOOKUP($B9,$DT$9:$DW$91,2,FALSE)/VLOOKUP($B9,$DO$9:$DR$91,2,FALSE)</f>
        <v>1.5097169380514892</v>
      </c>
      <c r="EA9" s="772">
        <f t="shared" ref="EA9:EA40" si="1">VLOOKUP($B9,$DT$9:$DW$91,3,FALSE)/VLOOKUP($B9,$DO$9:$DR$91,3,FALSE)</f>
        <v>1.4587193031868355</v>
      </c>
      <c r="EB9" s="773">
        <f t="shared" ref="EB9:EB40" si="2">VLOOKUP($B9,$DT$9:$DW$91,4,FALSE)/VLOOKUP($B9,$DO$9:$DR$91,4,FALSE)</f>
        <v>1.4190483693750586</v>
      </c>
      <c r="EC9" s="55"/>
      <c r="ED9" s="541"/>
      <c r="EE9" s="168" t="s">
        <v>531</v>
      </c>
      <c r="EF9" s="733">
        <v>1588.475694</v>
      </c>
      <c r="EG9" s="734">
        <v>122.797237</v>
      </c>
      <c r="EH9" s="734">
        <v>325.08869399999998</v>
      </c>
      <c r="EI9" s="734">
        <v>200.89074400000001</v>
      </c>
      <c r="EJ9" s="734">
        <v>105.542179</v>
      </c>
      <c r="EK9" s="701">
        <v>1684.7487765485319</v>
      </c>
      <c r="EL9" s="702">
        <v>134.19586625070795</v>
      </c>
      <c r="EM9" s="702">
        <v>296.81028695452045</v>
      </c>
      <c r="EN9" s="702">
        <v>149.93462132180142</v>
      </c>
      <c r="EO9" s="702">
        <v>97.811224007189082</v>
      </c>
      <c r="EP9" s="1134">
        <v>1669.0128403468</v>
      </c>
      <c r="EQ9" s="1135">
        <v>60.553977286904598</v>
      </c>
      <c r="ER9" s="1135">
        <v>293.88606431789998</v>
      </c>
      <c r="ES9" s="1135">
        <v>153.170898920855</v>
      </c>
      <c r="ET9" s="1136">
        <v>106.47988407041299</v>
      </c>
      <c r="EU9" s="430"/>
      <c r="EV9" s="168" t="s">
        <v>531</v>
      </c>
      <c r="EW9" s="701">
        <v>638.020261</v>
      </c>
      <c r="EX9" s="702">
        <v>588.33112800000004</v>
      </c>
      <c r="EY9" s="702">
        <v>275.75745000000001</v>
      </c>
      <c r="EZ9" s="702">
        <v>82.354956000000001</v>
      </c>
      <c r="FA9" s="701">
        <v>1059.4776879999999</v>
      </c>
      <c r="FB9" s="702">
        <v>1418.2230380000001</v>
      </c>
      <c r="FC9" s="702">
        <v>579.87463000000002</v>
      </c>
      <c r="FD9" s="702">
        <v>153.83912699999999</v>
      </c>
      <c r="FE9" s="701">
        <v>696.04927995877802</v>
      </c>
      <c r="FF9" s="702">
        <v>597.56675300705183</v>
      </c>
      <c r="FG9" s="702">
        <v>295.21942012397005</v>
      </c>
      <c r="FH9" s="611">
        <v>94.913324240244719</v>
      </c>
      <c r="FI9" s="701">
        <v>1133.4899945150951</v>
      </c>
      <c r="FJ9" s="702">
        <v>1237.4874445433682</v>
      </c>
      <c r="FK9" s="744">
        <v>558.34322971437041</v>
      </c>
      <c r="FL9" s="745">
        <v>232.51250015534848</v>
      </c>
      <c r="FM9" s="1137">
        <v>679.40641097044897</v>
      </c>
      <c r="FN9" s="1138">
        <v>534.81479246790502</v>
      </c>
      <c r="FO9" s="1138">
        <v>357.13066035932201</v>
      </c>
      <c r="FP9" s="1139">
        <v>94.660973502966797</v>
      </c>
      <c r="FQ9" s="1137">
        <v>986.310495142631</v>
      </c>
      <c r="FR9" s="1138">
        <v>1119.7059687281801</v>
      </c>
      <c r="FS9" s="1138">
        <v>671.20805282039305</v>
      </c>
      <c r="FT9" s="1139">
        <v>200.39935101443001</v>
      </c>
      <c r="FV9" s="166" t="s">
        <v>531</v>
      </c>
      <c r="FW9" s="337">
        <v>331.87505299999998</v>
      </c>
      <c r="FX9" s="339">
        <v>165.25053800000001</v>
      </c>
      <c r="FY9" s="339">
        <v>84.432811000000001</v>
      </c>
      <c r="FZ9" s="165">
        <v>49.963216000000003</v>
      </c>
      <c r="GA9" s="701">
        <v>310.83574504025341</v>
      </c>
      <c r="GB9" s="702">
        <v>98.805226343691416</v>
      </c>
      <c r="GC9" s="702">
        <v>113.01818826711153</v>
      </c>
      <c r="GD9" s="611">
        <v>28.914462651126289</v>
      </c>
      <c r="GE9" s="1134">
        <v>327.05627133519101</v>
      </c>
      <c r="GF9" s="1135">
        <v>117.550758441441</v>
      </c>
      <c r="GG9" s="1135">
        <v>92.862906131974398</v>
      </c>
      <c r="GH9" s="1136">
        <v>20.109224831108701</v>
      </c>
      <c r="GJ9" s="168" t="s">
        <v>531</v>
      </c>
      <c r="GK9" s="701">
        <v>2646.9971439999999</v>
      </c>
      <c r="GL9" s="702">
        <v>2759.4981536741243</v>
      </c>
      <c r="GM9" s="1136">
        <v>2824.9238128256902</v>
      </c>
      <c r="GO9" s="168" t="s">
        <v>531</v>
      </c>
      <c r="GP9" s="701">
        <v>2340.7945519999998</v>
      </c>
      <c r="GQ9" s="702">
        <v>84.324439999999996</v>
      </c>
      <c r="GR9" s="611">
        <v>221.878152</v>
      </c>
      <c r="GS9" s="701">
        <v>2362.5007758642641</v>
      </c>
      <c r="GT9" s="702">
        <v>96.18238243876516</v>
      </c>
      <c r="GU9" s="611">
        <v>300.81499537109562</v>
      </c>
      <c r="GV9" s="1134">
        <v>2276.10365783518</v>
      </c>
      <c r="GW9" s="1135">
        <v>169.60775991665199</v>
      </c>
      <c r="GX9" s="1136">
        <v>379.21239507386599</v>
      </c>
      <c r="GZ9" s="168" t="s">
        <v>531</v>
      </c>
      <c r="HA9" s="338">
        <v>155.666324</v>
      </c>
      <c r="HB9" s="339">
        <v>2477.2845860000002</v>
      </c>
      <c r="HC9" s="165">
        <f>GK9-(HA9+HB9)</f>
        <v>14.046233999999913</v>
      </c>
      <c r="HD9" s="701">
        <v>191.06573472124197</v>
      </c>
      <c r="HE9" s="702">
        <v>2536.3269273820097</v>
      </c>
      <c r="HF9" s="611">
        <f>GL9-(HD9+HE9)</f>
        <v>32.1054915708728</v>
      </c>
      <c r="HG9" s="582">
        <v>195.77035131713001</v>
      </c>
      <c r="HH9" s="1135">
        <v>2592.24346070612</v>
      </c>
      <c r="HI9" s="611">
        <f>GM9-(HG9+HH9)</f>
        <v>36.910000802440209</v>
      </c>
      <c r="HK9" s="168" t="s">
        <v>531</v>
      </c>
      <c r="HL9" s="702">
        <v>2340.7945519999998</v>
      </c>
      <c r="HM9" s="702">
        <v>6040.0534939999998</v>
      </c>
      <c r="HN9" s="773">
        <f>HM9/HL9</f>
        <v>2.5803432808057902</v>
      </c>
      <c r="HO9" s="701">
        <v>2362.5007758642641</v>
      </c>
      <c r="HP9" s="702">
        <v>6096.2551363862085</v>
      </c>
      <c r="HQ9" s="773">
        <f>HP9/HO9</f>
        <v>2.5804246071225267</v>
      </c>
      <c r="HR9" s="1135">
        <v>2276.10365783518</v>
      </c>
      <c r="HS9" s="1135">
        <v>6047.3234486328802</v>
      </c>
      <c r="HT9" s="783">
        <f>HS9/HR9</f>
        <v>2.6568752384434622</v>
      </c>
      <c r="HV9" s="168" t="s">
        <v>531</v>
      </c>
      <c r="HW9" s="338">
        <v>141.66657000000001</v>
      </c>
      <c r="HX9" s="339">
        <v>776.33423200000004</v>
      </c>
      <c r="HY9" s="772">
        <f>HX9/HW9</f>
        <v>5.4800100828304092</v>
      </c>
      <c r="HZ9" s="702">
        <v>2186.0817480000001</v>
      </c>
      <c r="IA9" s="702">
        <v>5250.6730269999998</v>
      </c>
      <c r="IB9" s="772">
        <f>IA9/HZ9</f>
        <v>2.4018649036357993</v>
      </c>
      <c r="IC9" s="701">
        <v>176.94707402614154</v>
      </c>
      <c r="ID9" s="702">
        <v>1012.6179584249682</v>
      </c>
      <c r="IE9" s="772">
        <f>ID9/IC9</f>
        <v>5.7227166032446943</v>
      </c>
      <c r="IF9" s="702">
        <v>2154.4482102672491</v>
      </c>
      <c r="IG9" s="702">
        <v>5026.7695643022398</v>
      </c>
      <c r="IH9" s="773">
        <f>IG9/IF9</f>
        <v>2.3332051057651988</v>
      </c>
      <c r="II9" s="1134">
        <v>170.69039773657701</v>
      </c>
      <c r="IJ9" s="1135">
        <v>1078.9498612561799</v>
      </c>
      <c r="IK9" s="1168">
        <f>IJ9/II9</f>
        <v>6.3210929001483791</v>
      </c>
      <c r="IL9" s="1135">
        <v>2075.23286356989</v>
      </c>
      <c r="IM9" s="1135">
        <v>4927.48355062476</v>
      </c>
      <c r="IN9" s="1169">
        <f>IM9/IL9</f>
        <v>2.3744244017745197</v>
      </c>
      <c r="IP9" s="168" t="s">
        <v>531</v>
      </c>
      <c r="IQ9" s="701">
        <v>654.68739100000005</v>
      </c>
      <c r="IR9" s="702">
        <v>725.79547600000001</v>
      </c>
      <c r="IS9" s="702">
        <v>460.15427099999999</v>
      </c>
      <c r="IT9" s="702">
        <v>208.31476000000001</v>
      </c>
      <c r="IU9" s="702">
        <v>291.84265399999998</v>
      </c>
      <c r="IV9" s="702">
        <v>6040.0534939999998</v>
      </c>
      <c r="IW9" s="701">
        <v>679.94922100866245</v>
      </c>
      <c r="IX9" s="702">
        <v>743.21656953810236</v>
      </c>
      <c r="IY9" s="702">
        <v>405.74872368971688</v>
      </c>
      <c r="IZ9" s="702">
        <v>281.63069186439805</v>
      </c>
      <c r="JA9" s="702">
        <v>251.95556976338372</v>
      </c>
      <c r="JB9" s="611">
        <v>6096.2551363862085</v>
      </c>
      <c r="JC9" s="1134">
        <v>588.07482296556805</v>
      </c>
      <c r="JD9" s="1135">
        <v>746.93473544776998</v>
      </c>
      <c r="JE9" s="1135">
        <v>409.33951618596001</v>
      </c>
      <c r="JF9" s="1135">
        <v>274.52993540626602</v>
      </c>
      <c r="JG9" s="1135">
        <v>257.22464782961202</v>
      </c>
      <c r="JH9" s="1136">
        <v>6047.3234486328802</v>
      </c>
      <c r="JJ9" s="168" t="s">
        <v>531</v>
      </c>
      <c r="JK9" s="338">
        <v>518.66230299999995</v>
      </c>
      <c r="JL9" s="704">
        <v>1496.3345219999999</v>
      </c>
      <c r="JM9" s="339">
        <v>258.73119300000002</v>
      </c>
      <c r="JN9" s="165">
        <v>67.066533000000007</v>
      </c>
      <c r="JO9" s="701">
        <v>576.53034099724357</v>
      </c>
      <c r="JP9" s="702">
        <v>1542.0914302144367</v>
      </c>
      <c r="JQ9" s="702">
        <v>177.89495907327819</v>
      </c>
      <c r="JR9" s="611">
        <v>65.98404557930499</v>
      </c>
      <c r="JS9" s="1134">
        <v>526.16821834789096</v>
      </c>
      <c r="JT9" s="1135">
        <v>1396.4315778030841</v>
      </c>
      <c r="JU9" s="1135">
        <v>313.45721283994601</v>
      </c>
      <c r="JV9" s="1136">
        <v>40.046648844250697</v>
      </c>
      <c r="JX9" s="168" t="s">
        <v>531</v>
      </c>
      <c r="JY9" s="701">
        <v>623.58973778546795</v>
      </c>
      <c r="JZ9" s="702">
        <v>765.10217631611499</v>
      </c>
      <c r="KA9" s="702">
        <v>293.801802885808</v>
      </c>
      <c r="KB9" s="611">
        <v>593.60994084778497</v>
      </c>
      <c r="KC9" s="603"/>
      <c r="KD9" s="168" t="s">
        <v>531</v>
      </c>
      <c r="KE9" s="701">
        <v>574.75261308212305</v>
      </c>
      <c r="KF9" s="702">
        <v>249.211359576642</v>
      </c>
      <c r="KG9" s="702">
        <v>604.79776139785804</v>
      </c>
      <c r="KH9" s="702">
        <v>455.35984790188201</v>
      </c>
      <c r="KI9" s="702">
        <v>123.796826944017</v>
      </c>
      <c r="KJ9" s="611">
        <v>67.314454667368295</v>
      </c>
      <c r="KK9" s="701">
        <v>129.96806561129799</v>
      </c>
      <c r="KL9" s="702">
        <v>7.7441211225781901</v>
      </c>
      <c r="KM9" s="702">
        <v>23.207401466721201</v>
      </c>
      <c r="KN9" s="702">
        <v>3.0266894287873098</v>
      </c>
      <c r="KO9" s="702">
        <v>3.3836465797397302</v>
      </c>
      <c r="KP9" s="611">
        <v>3.3604735274534399</v>
      </c>
      <c r="KQ9" s="701">
        <v>709.68488502392597</v>
      </c>
      <c r="KR9" s="702">
        <v>259.94116424680698</v>
      </c>
      <c r="KS9" s="702">
        <v>633.49068407817003</v>
      </c>
      <c r="KT9" s="702">
        <v>464.81249632557001</v>
      </c>
      <c r="KU9" s="702">
        <v>134.520976167577</v>
      </c>
      <c r="KV9" s="611">
        <v>73.653451993125103</v>
      </c>
      <c r="KW9" s="429"/>
      <c r="KX9" s="168" t="s">
        <v>531</v>
      </c>
      <c r="KY9" s="338">
        <f>VLOOKUP($B9,$DO$9:$DR$91,2,FALSE)-(VLOOKUP($B9,$KX$9:$LG$91,3,FALSE)+VLOOKUP($B9,$KX$9:$LG$91,4,FALSE))</f>
        <v>1029.2168790000003</v>
      </c>
      <c r="KZ9" s="339">
        <v>1132.172877</v>
      </c>
      <c r="LA9" s="165">
        <v>181.40479300000001</v>
      </c>
      <c r="LB9" s="338">
        <f t="shared" ref="LB9:LB40" si="3">VLOOKUP($B9,$DO$9:$DR$91,3,FALSE)-(VLOOKUP($B9,$KX$9:$LG$91,6,FALSE)+VLOOKUP($B9,$KX$9:$LG$91,7,FALSE))</f>
        <v>1138.9856666951639</v>
      </c>
      <c r="LC9" s="702">
        <v>1065.9612157597114</v>
      </c>
      <c r="LD9" s="611">
        <v>158.5538926278754</v>
      </c>
      <c r="LE9" s="338">
        <f t="shared" ref="LE9:LE40" si="4">VLOOKUP($B9,$DO$9:$DR$91,4,FALSE)-(VLOOKUP($B9,$KX$9:$LG$91,9,FALSE)+VLOOKUP($B9,$KX$9:$LG$91,10,FALSE))</f>
        <v>1124.2021187936803</v>
      </c>
      <c r="LF9" s="1135">
        <v>1005.4963758730401</v>
      </c>
      <c r="LG9" s="1136">
        <v>153.40517027614999</v>
      </c>
      <c r="LH9" s="128"/>
      <c r="LI9" s="168" t="s">
        <v>531</v>
      </c>
      <c r="LJ9" s="701">
        <v>1928.2890620000001</v>
      </c>
      <c r="LK9" s="702">
        <v>1654.5723350000001</v>
      </c>
      <c r="LL9" s="702">
        <v>273.71672699999999</v>
      </c>
      <c r="LM9" s="702">
        <v>784.13868300000001</v>
      </c>
      <c r="LN9" s="702">
        <v>68.819331000000005</v>
      </c>
      <c r="LO9" s="611">
        <v>105.70246299999999</v>
      </c>
      <c r="LP9" s="701">
        <v>1782.9559173290982</v>
      </c>
      <c r="LQ9" s="702">
        <v>1495.7372336221488</v>
      </c>
      <c r="LR9" s="702">
        <v>287.21868370694926</v>
      </c>
      <c r="LS9" s="702">
        <v>821.22857305668663</v>
      </c>
      <c r="LT9" s="702">
        <v>56.656697245063192</v>
      </c>
      <c r="LU9" s="611">
        <v>83.431455365276165</v>
      </c>
      <c r="LV9" s="1134">
        <v>1615.27321951813</v>
      </c>
      <c r="LW9" s="1135">
        <v>1364.1110540878101</v>
      </c>
      <c r="LX9" s="1135">
        <v>251.16216543032399</v>
      </c>
      <c r="LY9" s="1135">
        <v>740.12281993885904</v>
      </c>
      <c r="LZ9" s="1135">
        <v>47.615095434080096</v>
      </c>
      <c r="MA9" s="1136">
        <v>104.03442492009999</v>
      </c>
      <c r="MC9" s="168" t="s">
        <v>531</v>
      </c>
      <c r="MD9" s="701">
        <v>0</v>
      </c>
      <c r="ME9" s="702">
        <v>129.020399</v>
      </c>
      <c r="MF9" s="702">
        <v>522.09590200000002</v>
      </c>
      <c r="MG9" s="702">
        <v>456.76975399999998</v>
      </c>
      <c r="MH9" s="702">
        <v>350.85091899999998</v>
      </c>
      <c r="MI9" s="611">
        <v>195.83536000000001</v>
      </c>
      <c r="MJ9" s="701">
        <v>0</v>
      </c>
      <c r="MK9" s="702">
        <v>91.836378332890376</v>
      </c>
      <c r="ML9" s="702">
        <v>455.12993392010509</v>
      </c>
      <c r="MM9" s="702">
        <v>464.06589442000501</v>
      </c>
      <c r="MN9" s="702">
        <v>337.99151144262203</v>
      </c>
      <c r="MO9" s="611">
        <v>147.71351472501348</v>
      </c>
      <c r="MP9" s="1134">
        <v>0</v>
      </c>
      <c r="MQ9" s="1135">
        <v>140.08088148694699</v>
      </c>
      <c r="MR9" s="1135">
        <v>423.91498835867901</v>
      </c>
      <c r="MS9" s="1135">
        <v>393.32824410423399</v>
      </c>
      <c r="MT9" s="1135">
        <v>331.31491764812898</v>
      </c>
      <c r="MU9" s="1136">
        <v>92.472039751365102</v>
      </c>
      <c r="MW9" s="168" t="s">
        <v>531</v>
      </c>
      <c r="MX9" s="338">
        <v>1668.6887810000001</v>
      </c>
      <c r="MY9" s="339">
        <v>1412.2649260000001</v>
      </c>
      <c r="MZ9" s="339">
        <v>256.423855</v>
      </c>
      <c r="NA9" s="701">
        <v>1523.9342526911471</v>
      </c>
      <c r="NB9" s="702">
        <v>1266.7439583694495</v>
      </c>
      <c r="NC9" s="611">
        <v>257.19029432169731</v>
      </c>
      <c r="ND9" s="1134">
        <v>1398.7548662532599</v>
      </c>
      <c r="NE9" s="1135">
        <v>1070.37431919697</v>
      </c>
      <c r="NF9" s="1136">
        <v>328.38054705629298</v>
      </c>
      <c r="NH9" s="168" t="s">
        <v>531</v>
      </c>
      <c r="NI9" s="701">
        <v>902.39512324542443</v>
      </c>
      <c r="NJ9" s="611">
        <v>364.34883512402541</v>
      </c>
      <c r="NK9" s="701">
        <v>128.77948195720148</v>
      </c>
      <c r="NL9" s="702">
        <v>123.91955983541924</v>
      </c>
      <c r="NM9" s="611">
        <v>4.4912525290765792</v>
      </c>
      <c r="NN9" s="1134">
        <v>770.46865463634799</v>
      </c>
      <c r="NO9" s="1136">
        <v>299.90566456062032</v>
      </c>
      <c r="NP9" s="1134">
        <v>193.43965196355799</v>
      </c>
      <c r="NQ9" s="1135">
        <v>123.789954338131</v>
      </c>
      <c r="NR9" s="1136">
        <v>11.1509407546042</v>
      </c>
      <c r="NS9" s="136"/>
      <c r="NT9" s="168" t="s">
        <v>531</v>
      </c>
      <c r="NU9" s="701">
        <v>245.47966318525289</v>
      </c>
      <c r="NV9" s="702">
        <v>10.163834168507901</v>
      </c>
      <c r="NW9" s="702">
        <v>3.5262367080824202</v>
      </c>
      <c r="NX9" s="611">
        <v>105.17910106218223</v>
      </c>
      <c r="NY9" s="1134">
        <v>199.393395093349</v>
      </c>
      <c r="NZ9" s="1135">
        <v>22.5002232082375</v>
      </c>
      <c r="OA9" s="1135">
        <v>7.3761774847486201</v>
      </c>
      <c r="OB9" s="1136">
        <v>70.6358687742852</v>
      </c>
      <c r="OC9" s="553"/>
      <c r="OD9" s="168" t="s">
        <v>531</v>
      </c>
      <c r="OE9" s="701">
        <v>39.328655238311299</v>
      </c>
      <c r="OF9" s="702">
        <v>67.939648720448602</v>
      </c>
      <c r="OG9" s="702">
        <v>85.174667484120803</v>
      </c>
      <c r="OH9" s="702">
        <v>87.570989909892901</v>
      </c>
      <c r="OI9" s="702">
        <v>819.95934724852202</v>
      </c>
      <c r="OJ9" s="702">
        <v>83.681283711896498</v>
      </c>
      <c r="OK9" s="611">
        <v>29.733654419923099</v>
      </c>
      <c r="OL9" s="701">
        <v>62.342295069546303</v>
      </c>
      <c r="OM9" s="702">
        <v>75.653437041456598</v>
      </c>
      <c r="ON9" s="702">
        <v>85.174667484120803</v>
      </c>
      <c r="OO9" s="702">
        <v>88.570990925277897</v>
      </c>
      <c r="OP9" s="702">
        <v>985.73959357123499</v>
      </c>
      <c r="OQ9" s="702">
        <v>366.73734178853601</v>
      </c>
      <c r="OR9" s="611">
        <v>1649.5760561590901</v>
      </c>
      <c r="OT9" s="168" t="s">
        <v>531</v>
      </c>
      <c r="OU9" s="338">
        <v>354.36452800000001</v>
      </c>
      <c r="OV9" s="339">
        <v>261.66767199999998</v>
      </c>
      <c r="OW9" s="339">
        <v>431.71835399999998</v>
      </c>
      <c r="OX9" s="165">
        <v>1124.133693</v>
      </c>
      <c r="OY9" s="701">
        <v>333.06313121538057</v>
      </c>
      <c r="OZ9" s="702">
        <v>179.1952275890458</v>
      </c>
      <c r="PA9" s="702">
        <v>368.57300950474428</v>
      </c>
      <c r="PB9" s="611">
        <v>1207.5021857866427</v>
      </c>
      <c r="PC9" s="1134">
        <v>277.78545524086508</v>
      </c>
      <c r="PD9" s="1135">
        <v>179.57223732025</v>
      </c>
      <c r="PE9" s="1135">
        <v>380.18712490354</v>
      </c>
      <c r="PF9" s="1136">
        <v>1232.133889689246</v>
      </c>
      <c r="PH9" s="168" t="s">
        <v>531</v>
      </c>
      <c r="PI9" s="701">
        <v>114.8365857859626</v>
      </c>
      <c r="PJ9" s="702">
        <v>102.77817158626399</v>
      </c>
      <c r="PK9" s="702">
        <v>184.42284027300701</v>
      </c>
      <c r="PL9" s="611">
        <v>587.89629444908405</v>
      </c>
      <c r="PM9" s="701">
        <v>162.948869454902</v>
      </c>
      <c r="PN9" s="702">
        <v>76.794065733985903</v>
      </c>
      <c r="PO9" s="702">
        <v>195.76428463053401</v>
      </c>
      <c r="PP9" s="611">
        <v>644.23759524016202</v>
      </c>
      <c r="PQ9" s="65"/>
      <c r="PR9" s="168" t="s">
        <v>531</v>
      </c>
      <c r="PS9" s="1035">
        <v>72.220293855780596</v>
      </c>
      <c r="PT9" s="1036">
        <v>419.40512763990603</v>
      </c>
      <c r="PU9" s="1036">
        <v>119.688681627116</v>
      </c>
      <c r="PV9" s="1036">
        <v>22.912984623478199</v>
      </c>
      <c r="PW9" s="1036">
        <v>430.02292062575299</v>
      </c>
      <c r="PX9" s="1040">
        <v>350.50487412738801</v>
      </c>
      <c r="PZ9" s="168" t="s">
        <v>531</v>
      </c>
      <c r="QA9" s="1035">
        <v>1024.3762720336899</v>
      </c>
      <c r="QB9" s="1036">
        <v>374.37859421956699</v>
      </c>
      <c r="QC9" s="1036">
        <v>223.276981202515</v>
      </c>
      <c r="QD9" s="1036">
        <v>67.493552266383105</v>
      </c>
      <c r="QE9" s="1036">
        <v>80.238923171252694</v>
      </c>
      <c r="QF9" s="1037">
        <v>3.3691375794162899</v>
      </c>
    </row>
    <row r="10" spans="1:448" ht="13.5" customHeight="1">
      <c r="A10" s="591" t="s">
        <v>475</v>
      </c>
      <c r="B10" s="167" t="s">
        <v>532</v>
      </c>
      <c r="C10" s="1103">
        <v>1578.531007</v>
      </c>
      <c r="D10" s="690">
        <v>1488.8176238226508</v>
      </c>
      <c r="E10" s="691">
        <v>1522.2849334867101</v>
      </c>
      <c r="F10" s="428"/>
      <c r="G10" s="169" t="s">
        <v>532</v>
      </c>
      <c r="H10" s="577">
        <f t="shared" ref="H10:H73" si="5">(VLOOKUP($G10,$B$9:$E$91,3,FALSE)/VLOOKUP($G10,$B$9:$E$91,2,FALSE))^(1/5) -1</f>
        <v>-1.1634273942699336E-2</v>
      </c>
      <c r="I10" s="668">
        <f t="shared" ref="I10:I73" si="6">(VLOOKUP($G10,$B$9:$E$91,4,FALSE)/VLOOKUP($G10,$B$9:$E$91,3,FALSE))^(1/5) -1</f>
        <v>4.4559358794706849E-3</v>
      </c>
      <c r="J10" s="612"/>
      <c r="K10" s="63"/>
      <c r="L10" s="167" t="s">
        <v>532</v>
      </c>
      <c r="M10" s="636">
        <v>21</v>
      </c>
      <c r="N10" s="637">
        <v>15</v>
      </c>
      <c r="O10" s="637">
        <v>10</v>
      </c>
      <c r="P10" s="637">
        <v>8</v>
      </c>
      <c r="Q10" s="637">
        <v>17</v>
      </c>
      <c r="R10" s="637">
        <v>12</v>
      </c>
      <c r="S10" s="637">
        <v>7</v>
      </c>
      <c r="T10" s="637">
        <v>11</v>
      </c>
      <c r="U10" s="1138">
        <v>11</v>
      </c>
      <c r="V10" s="1138">
        <v>5</v>
      </c>
      <c r="W10" s="1139">
        <v>9</v>
      </c>
      <c r="X10" s="169" t="s">
        <v>532</v>
      </c>
      <c r="Y10" s="666">
        <v>18</v>
      </c>
      <c r="Z10" s="667">
        <v>9</v>
      </c>
      <c r="AA10" s="667">
        <v>14.5</v>
      </c>
      <c r="AB10" s="667">
        <v>9</v>
      </c>
      <c r="AC10" s="667">
        <v>9</v>
      </c>
      <c r="AD10" s="668">
        <v>-0.5</v>
      </c>
      <c r="AE10" s="668">
        <v>0.61111111111111116</v>
      </c>
      <c r="AF10" s="668">
        <v>-0.37931034482758619</v>
      </c>
      <c r="AG10" s="1213">
        <v>0.61111111111111116</v>
      </c>
      <c r="AN10" s="169" t="s">
        <v>532</v>
      </c>
      <c r="AO10" s="636">
        <v>0</v>
      </c>
      <c r="AP10" s="637">
        <v>40.058649000000003</v>
      </c>
      <c r="AQ10" s="637">
        <v>239.47813400000001</v>
      </c>
      <c r="AR10" s="637">
        <v>210.93777499999999</v>
      </c>
      <c r="AS10" s="637">
        <v>232.735186</v>
      </c>
      <c r="AT10" s="637">
        <v>94.018023999999997</v>
      </c>
      <c r="AU10" s="637">
        <v>316.49972600000001</v>
      </c>
      <c r="AV10" s="173">
        <v>368.29473400000001</v>
      </c>
      <c r="AW10" s="636">
        <v>0</v>
      </c>
      <c r="AX10" s="637">
        <v>36.581117205327423</v>
      </c>
      <c r="AY10" s="637">
        <v>228.36804691789635</v>
      </c>
      <c r="AZ10" s="637">
        <v>201.3876043560484</v>
      </c>
      <c r="BA10" s="637">
        <v>189.22302616602281</v>
      </c>
      <c r="BB10" s="637">
        <v>138.79363542953726</v>
      </c>
      <c r="BC10" s="637">
        <v>239.4846396664301</v>
      </c>
      <c r="BD10" s="173">
        <v>374.57710840324808</v>
      </c>
      <c r="BE10" s="1137">
        <v>0</v>
      </c>
      <c r="BF10" s="1138">
        <v>14.327769264319199</v>
      </c>
      <c r="BG10" s="1138">
        <v>274.37483451758999</v>
      </c>
      <c r="BH10" s="1138">
        <v>209.076292839319</v>
      </c>
      <c r="BI10" s="1138">
        <v>201.90843436453599</v>
      </c>
      <c r="BJ10" s="1138">
        <v>114.81820603267499</v>
      </c>
      <c r="BK10" s="1138">
        <v>293.87364414930897</v>
      </c>
      <c r="BL10" s="1139">
        <v>328.37708261628399</v>
      </c>
      <c r="BN10" s="169" t="s">
        <v>532</v>
      </c>
      <c r="BO10" s="647">
        <v>77.508778000000007</v>
      </c>
      <c r="BP10" s="648">
        <v>697.32651299999998</v>
      </c>
      <c r="BQ10" s="648">
        <v>217.936699</v>
      </c>
      <c r="BR10" s="648">
        <v>207.12190899999999</v>
      </c>
      <c r="BS10" s="648">
        <v>208.93968699999999</v>
      </c>
      <c r="BT10" s="173">
        <v>169.69741999999999</v>
      </c>
      <c r="BU10" s="647">
        <v>82.402444115114832</v>
      </c>
      <c r="BV10" s="648">
        <v>763.87732746270433</v>
      </c>
      <c r="BW10" s="648">
        <v>230.77396828500585</v>
      </c>
      <c r="BX10" s="648">
        <v>126.64267677198028</v>
      </c>
      <c r="BY10" s="648">
        <v>174.88941149247853</v>
      </c>
      <c r="BZ10" s="173">
        <v>110.23179569536701</v>
      </c>
      <c r="CA10" s="1137">
        <v>83.528667671905794</v>
      </c>
      <c r="CB10" s="1138">
        <v>748.28647166981796</v>
      </c>
      <c r="CC10" s="1138">
        <v>219.48920221926701</v>
      </c>
      <c r="CD10" s="1138">
        <v>92.516873600503004</v>
      </c>
      <c r="CE10" s="1138">
        <v>239.583907844403</v>
      </c>
      <c r="CF10" s="1139">
        <v>138.87981048081201</v>
      </c>
      <c r="CG10" s="429"/>
      <c r="CH10" s="169" t="s">
        <v>532</v>
      </c>
      <c r="CI10" s="172">
        <v>259.68433399999998</v>
      </c>
      <c r="CJ10" s="337">
        <v>1033.4369320000001</v>
      </c>
      <c r="CK10" s="337">
        <v>285.40974</v>
      </c>
      <c r="CL10" s="647">
        <v>252.53979692439287</v>
      </c>
      <c r="CM10" s="648">
        <v>1019.1195717759456</v>
      </c>
      <c r="CN10" s="648">
        <v>217.15825512231223</v>
      </c>
      <c r="CO10" s="1137">
        <v>268.50468215540201</v>
      </c>
      <c r="CP10" s="1138">
        <v>939.68900249437195</v>
      </c>
      <c r="CQ10" s="1139">
        <v>314.09124883693499</v>
      </c>
      <c r="CR10" s="429"/>
      <c r="CS10" s="232" t="s">
        <v>643</v>
      </c>
      <c r="CT10" s="130">
        <v>-1180.370412</v>
      </c>
      <c r="CU10" s="130">
        <v>1094.757343</v>
      </c>
      <c r="CV10" s="130">
        <v>-2693.0287999999996</v>
      </c>
      <c r="CW10" s="130">
        <v>2843.0183579999998</v>
      </c>
      <c r="CX10" s="130">
        <v>-1270.0443922962638</v>
      </c>
      <c r="CY10" s="130">
        <v>953.20698189752682</v>
      </c>
      <c r="CZ10" s="130">
        <v>-2827.3799483496887</v>
      </c>
      <c r="DA10" s="130">
        <v>2518.643648539005</v>
      </c>
      <c r="DB10" s="130">
        <v>-1152.07647201849</v>
      </c>
      <c r="DC10" s="130">
        <v>1000.99755395562</v>
      </c>
      <c r="DD10" s="130">
        <v>-2749.1965940321734</v>
      </c>
      <c r="DE10" s="234">
        <v>2634.0998759211129</v>
      </c>
      <c r="DG10" s="169" t="s">
        <v>532</v>
      </c>
      <c r="DH10" s="1147" t="s">
        <v>726</v>
      </c>
      <c r="DI10" s="1150" t="s">
        <v>746</v>
      </c>
      <c r="DJ10" s="704" t="s">
        <v>782</v>
      </c>
      <c r="DK10" s="704" t="s">
        <v>783</v>
      </c>
      <c r="DL10" s="337" t="s">
        <v>784</v>
      </c>
      <c r="DM10" s="174" t="s">
        <v>785</v>
      </c>
      <c r="DN10" s="451"/>
      <c r="DO10" s="167" t="s">
        <v>532</v>
      </c>
      <c r="DP10" s="704">
        <v>1073.0922639999999</v>
      </c>
      <c r="DQ10" s="337">
        <v>1006.8417430237946</v>
      </c>
      <c r="DR10" s="1139">
        <v>1013.4868941536801</v>
      </c>
      <c r="DS10" s="63"/>
      <c r="DT10" s="169" t="s">
        <v>532</v>
      </c>
      <c r="DU10" s="172">
        <v>1519.5310790000001</v>
      </c>
      <c r="DV10" s="337">
        <v>1423.8176746209783</v>
      </c>
      <c r="DW10" s="1139">
        <v>1464.28487459438</v>
      </c>
      <c r="DX10" s="63"/>
      <c r="DY10" s="169" t="s">
        <v>532</v>
      </c>
      <c r="DZ10" s="1089">
        <f t="shared" si="0"/>
        <v>1.4160302240330009</v>
      </c>
      <c r="EA10" s="787">
        <f t="shared" si="1"/>
        <v>1.4141424752065821</v>
      </c>
      <c r="EB10" s="776">
        <f t="shared" si="2"/>
        <v>1.4447990230965366</v>
      </c>
      <c r="EC10" s="55"/>
      <c r="ED10" s="541"/>
      <c r="EE10" s="169" t="s">
        <v>532</v>
      </c>
      <c r="EF10" s="735">
        <v>723.05539599999997</v>
      </c>
      <c r="EG10" s="736">
        <v>72.547036000000006</v>
      </c>
      <c r="EH10" s="736">
        <v>211.995216</v>
      </c>
      <c r="EI10" s="736">
        <v>40.891258000000001</v>
      </c>
      <c r="EJ10" s="736">
        <v>24.603358</v>
      </c>
      <c r="EK10" s="703">
        <v>683.41756257808595</v>
      </c>
      <c r="EL10" s="704">
        <v>61.594792913880212</v>
      </c>
      <c r="EM10" s="704">
        <v>195.03902979465408</v>
      </c>
      <c r="EN10" s="704">
        <v>55.19162428974753</v>
      </c>
      <c r="EO10" s="704">
        <v>11.598733447426927</v>
      </c>
      <c r="EP10" s="1137">
        <v>683.777239310749</v>
      </c>
      <c r="EQ10" s="1138">
        <v>59.059032962167301</v>
      </c>
      <c r="ER10" s="1138">
        <v>184.307125103179</v>
      </c>
      <c r="ES10" s="1138">
        <v>69.420239652754603</v>
      </c>
      <c r="ET10" s="1139">
        <v>16.923257124827199</v>
      </c>
      <c r="EU10" s="430"/>
      <c r="EV10" s="169" t="s">
        <v>532</v>
      </c>
      <c r="EW10" s="703">
        <v>229.49820800000001</v>
      </c>
      <c r="EX10" s="704">
        <v>260.16418599999997</v>
      </c>
      <c r="EY10" s="704">
        <v>146.70619199999999</v>
      </c>
      <c r="EZ10" s="704">
        <v>86.686809999999994</v>
      </c>
      <c r="FA10" s="703">
        <v>444.373515</v>
      </c>
      <c r="FB10" s="704">
        <v>517.83999200000005</v>
      </c>
      <c r="FC10" s="704">
        <v>358.65428500000002</v>
      </c>
      <c r="FD10" s="704">
        <v>121.15450800000001</v>
      </c>
      <c r="FE10" s="703">
        <v>311.69932565089789</v>
      </c>
      <c r="FF10" s="704">
        <v>176.53322546081344</v>
      </c>
      <c r="FG10" s="704">
        <v>146.41026751178464</v>
      </c>
      <c r="FH10" s="173">
        <v>48.774743954589937</v>
      </c>
      <c r="FI10" s="703">
        <v>512.04011557335662</v>
      </c>
      <c r="FJ10" s="704">
        <v>478.88133364026663</v>
      </c>
      <c r="FK10" s="746">
        <v>275.90744852877458</v>
      </c>
      <c r="FL10" s="747">
        <v>74.586332763465606</v>
      </c>
      <c r="FM10" s="1137">
        <v>273.42381036131201</v>
      </c>
      <c r="FN10" s="1138">
        <v>201.91998278208001</v>
      </c>
      <c r="FO10" s="1138">
        <v>162.76558008869</v>
      </c>
      <c r="FP10" s="1139">
        <v>45.667866078666002</v>
      </c>
      <c r="FQ10" s="1137">
        <v>466.79311700257603</v>
      </c>
      <c r="FR10" s="1138">
        <v>502.02242698547798</v>
      </c>
      <c r="FS10" s="1138">
        <v>330.19021731363102</v>
      </c>
      <c r="FT10" s="1139">
        <v>81.750445620787303</v>
      </c>
      <c r="FV10" s="167" t="s">
        <v>532</v>
      </c>
      <c r="FW10" s="337">
        <v>211.995216</v>
      </c>
      <c r="FX10" s="337">
        <v>23.750399999999999</v>
      </c>
      <c r="FY10" s="337">
        <v>34.848331999999999</v>
      </c>
      <c r="FZ10" s="173">
        <v>6.8958839999999997</v>
      </c>
      <c r="GA10" s="703">
        <v>201.53504166561839</v>
      </c>
      <c r="GB10" s="704">
        <v>36.745797908137114</v>
      </c>
      <c r="GC10" s="704">
        <v>16.193267968751059</v>
      </c>
      <c r="GD10" s="173">
        <v>7.3552799893219536</v>
      </c>
      <c r="GE10" s="1137">
        <v>187.687843226685</v>
      </c>
      <c r="GF10" s="1138">
        <v>59.865967697367601</v>
      </c>
      <c r="GG10" s="1138">
        <v>19.716092833202101</v>
      </c>
      <c r="GH10" s="1139">
        <v>3.3807181235060799</v>
      </c>
      <c r="GJ10" s="169" t="s">
        <v>532</v>
      </c>
      <c r="GK10" s="703">
        <v>1199.998691</v>
      </c>
      <c r="GL10" s="704">
        <v>1208.9992131397446</v>
      </c>
      <c r="GM10" s="1139">
        <v>1215.00102907836</v>
      </c>
      <c r="GO10" s="169" t="s">
        <v>532</v>
      </c>
      <c r="GP10" s="703">
        <v>1073.0922639999999</v>
      </c>
      <c r="GQ10" s="704">
        <v>36.465155000000003</v>
      </c>
      <c r="GR10" s="173">
        <v>90.441271999999998</v>
      </c>
      <c r="GS10" s="703">
        <v>1006.8417430237946</v>
      </c>
      <c r="GT10" s="704">
        <v>43.192971344678774</v>
      </c>
      <c r="GU10" s="173">
        <v>158.96449877127122</v>
      </c>
      <c r="GV10" s="1137">
        <v>1013.4868941536801</v>
      </c>
      <c r="GW10" s="1138">
        <v>67.154368224244607</v>
      </c>
      <c r="GX10" s="1139">
        <v>134.35976670044201</v>
      </c>
      <c r="GZ10" s="169" t="s">
        <v>532</v>
      </c>
      <c r="HA10" s="172">
        <v>13.906532</v>
      </c>
      <c r="HB10" s="337">
        <v>1182.473872</v>
      </c>
      <c r="HC10" s="173">
        <f t="shared" ref="HC10:HC65" si="7">GK10-(HA10+HB10)</f>
        <v>3.6182870000000094</v>
      </c>
      <c r="HD10" s="703">
        <v>19.381440404555821</v>
      </c>
      <c r="HE10" s="704">
        <v>1170.1824753165572</v>
      </c>
      <c r="HF10" s="173">
        <f t="shared" ref="HF10:HF65" si="8">GL10-(HD10+HE10)</f>
        <v>19.435297418631535</v>
      </c>
      <c r="HG10" s="583">
        <v>18.4016447524025</v>
      </c>
      <c r="HH10" s="1138">
        <v>1190.0848071842399</v>
      </c>
      <c r="HI10" s="173">
        <f t="shared" ref="HI10:HI65" si="9">GM10-(HG10+HH10)</f>
        <v>6.5145771417176093</v>
      </c>
      <c r="HK10" s="169" t="s">
        <v>532</v>
      </c>
      <c r="HL10" s="704">
        <v>1073.0922639999999</v>
      </c>
      <c r="HM10" s="704">
        <v>2791.6541510000002</v>
      </c>
      <c r="HN10" s="776">
        <f t="shared" ref="HN10:HN73" si="10">HM10/HL10</f>
        <v>2.6015043110962175</v>
      </c>
      <c r="HO10" s="703">
        <v>1006.8417430237946</v>
      </c>
      <c r="HP10" s="704">
        <v>2461.730142408252</v>
      </c>
      <c r="HQ10" s="776">
        <f t="shared" ref="HQ10:HQ73" si="11">HP10/HO10</f>
        <v>2.4450020665760919</v>
      </c>
      <c r="HR10" s="1138">
        <v>1013.4868941536801</v>
      </c>
      <c r="HS10" s="1138">
        <v>2653.3162500848198</v>
      </c>
      <c r="HT10" s="784">
        <f t="shared" ref="HT10:HT73" si="12">HS10/HR10</f>
        <v>2.6180074605705599</v>
      </c>
      <c r="HV10" s="169" t="s">
        <v>532</v>
      </c>
      <c r="HW10" s="172">
        <v>13.906532</v>
      </c>
      <c r="HX10" s="337">
        <v>65.889075000000005</v>
      </c>
      <c r="HY10" s="787">
        <f t="shared" ref="HY10:HY73" si="13">HX10/HW10</f>
        <v>4.7379947063725165</v>
      </c>
      <c r="HZ10" s="704">
        <v>1055.5674449999999</v>
      </c>
      <c r="IA10" s="704">
        <v>2722.1467889999999</v>
      </c>
      <c r="IB10" s="787">
        <f t="shared" ref="IB10:IB73" si="14">IA10/HZ10</f>
        <v>2.5788468580517847</v>
      </c>
      <c r="IC10" s="703">
        <v>12.95686326267392</v>
      </c>
      <c r="ID10" s="704">
        <v>71.227587465451805</v>
      </c>
      <c r="IE10" s="787">
        <f t="shared" ref="IE10:IE73" si="15">ID10/IC10</f>
        <v>5.4972863432651913</v>
      </c>
      <c r="IF10" s="704">
        <v>977.68001056296464</v>
      </c>
      <c r="IG10" s="704">
        <v>2374.2976857446438</v>
      </c>
      <c r="IH10" s="776">
        <f t="shared" ref="IH10:IH65" si="16">IG10/IF10</f>
        <v>2.428501820731185</v>
      </c>
      <c r="II10" s="1137">
        <v>6.6491988613456297</v>
      </c>
      <c r="IJ10" s="1138">
        <v>33.2459943067281</v>
      </c>
      <c r="IK10" s="1170">
        <f t="shared" ref="IK10:IK73" si="17">IJ10/II10</f>
        <v>4.9999999999999929</v>
      </c>
      <c r="IL10" s="1138">
        <v>1000.32311815061</v>
      </c>
      <c r="IM10" s="1138">
        <v>2610.3095822324899</v>
      </c>
      <c r="IN10" s="1171">
        <f t="shared" ref="IN10:IN73" si="18">IM10/IL10</f>
        <v>2.6094664162699859</v>
      </c>
      <c r="IP10" s="169" t="s">
        <v>532</v>
      </c>
      <c r="IQ10" s="703">
        <v>261.808133</v>
      </c>
      <c r="IR10" s="704">
        <v>281.90715899999998</v>
      </c>
      <c r="IS10" s="704">
        <v>308.92567600000001</v>
      </c>
      <c r="IT10" s="704">
        <v>122.582909</v>
      </c>
      <c r="IU10" s="704">
        <v>97.868386999999998</v>
      </c>
      <c r="IV10" s="704">
        <v>2791.6541510000002</v>
      </c>
      <c r="IW10" s="703">
        <v>283.22060356634915</v>
      </c>
      <c r="IX10" s="704">
        <v>266.43717095306533</v>
      </c>
      <c r="IY10" s="704">
        <v>281.26557559930063</v>
      </c>
      <c r="IZ10" s="704">
        <v>106.94201537128926</v>
      </c>
      <c r="JA10" s="704">
        <v>68.976377533790227</v>
      </c>
      <c r="JB10" s="173">
        <v>2461.730142408252</v>
      </c>
      <c r="JC10" s="1137">
        <v>234.403108926935</v>
      </c>
      <c r="JD10" s="1138">
        <v>293.719976665432</v>
      </c>
      <c r="JE10" s="1138">
        <v>264.74262766842998</v>
      </c>
      <c r="JF10" s="1138">
        <v>111.711108623827</v>
      </c>
      <c r="JG10" s="1138">
        <v>108.910072269054</v>
      </c>
      <c r="JH10" s="1139">
        <v>2653.3162500848198</v>
      </c>
      <c r="JJ10" s="169" t="s">
        <v>532</v>
      </c>
      <c r="JK10" s="172">
        <v>364.54102699999999</v>
      </c>
      <c r="JL10" s="704">
        <v>669.25093500000003</v>
      </c>
      <c r="JM10" s="337">
        <v>6.8958839999999997</v>
      </c>
      <c r="JN10" s="173">
        <v>32.404418</v>
      </c>
      <c r="JO10" s="703">
        <v>267.58014083501558</v>
      </c>
      <c r="JP10" s="704">
        <v>690.53469781934359</v>
      </c>
      <c r="JQ10" s="704">
        <v>9.7588073939660909</v>
      </c>
      <c r="JR10" s="173">
        <v>38.968096975469393</v>
      </c>
      <c r="JS10" s="1137">
        <v>299.88763435231698</v>
      </c>
      <c r="JT10" s="1138">
        <v>659.86271645070337</v>
      </c>
      <c r="JU10" s="1138">
        <v>4.3399825930815901</v>
      </c>
      <c r="JV10" s="1139">
        <v>49.396560757574797</v>
      </c>
      <c r="JW10" s="432"/>
      <c r="JX10" s="169" t="s">
        <v>532</v>
      </c>
      <c r="JY10" s="703">
        <v>332.276856443795</v>
      </c>
      <c r="JZ10" s="704">
        <v>305.88271705468799</v>
      </c>
      <c r="KA10" s="704">
        <v>141.97219995885399</v>
      </c>
      <c r="KB10" s="173">
        <v>233.35512069634001</v>
      </c>
      <c r="KC10" s="603"/>
      <c r="KD10" s="169" t="s">
        <v>532</v>
      </c>
      <c r="KE10" s="703">
        <v>132.77253785005701</v>
      </c>
      <c r="KF10" s="704">
        <v>54.278385653011803</v>
      </c>
      <c r="KG10" s="704">
        <v>413.25807640217499</v>
      </c>
      <c r="KH10" s="704">
        <v>324.77505669784301</v>
      </c>
      <c r="KI10" s="704">
        <v>68.716115243631407</v>
      </c>
      <c r="KJ10" s="173">
        <v>3.2544655660522799</v>
      </c>
      <c r="KK10" s="703">
        <v>3.3807181235060799</v>
      </c>
      <c r="KL10" s="704">
        <v>0</v>
      </c>
      <c r="KM10" s="704">
        <v>0</v>
      </c>
      <c r="KN10" s="704">
        <v>3.2684807378395502</v>
      </c>
      <c r="KO10" s="704">
        <v>0</v>
      </c>
      <c r="KP10" s="173">
        <v>0</v>
      </c>
      <c r="KQ10" s="703">
        <v>136.15325597356301</v>
      </c>
      <c r="KR10" s="704">
        <v>54.278385653011803</v>
      </c>
      <c r="KS10" s="704">
        <v>413.25807640217499</v>
      </c>
      <c r="KT10" s="704">
        <v>328.04353743568299</v>
      </c>
      <c r="KU10" s="704">
        <v>75.230692385353095</v>
      </c>
      <c r="KV10" s="173">
        <v>3.2544655660522799</v>
      </c>
      <c r="KW10" s="429"/>
      <c r="KX10" s="169" t="s">
        <v>532</v>
      </c>
      <c r="KY10" s="172">
        <f t="shared" ref="KY10:KY40" si="19">VLOOKUP($B10,$DO$9:$DR$91,2,FALSE)-(VLOOKUP($B10,$KX$9:$LG$91,3,FALSE)+VLOOKUP($B10,$KX$9:$LG$91,4,FALSE))</f>
        <v>427.65442399999995</v>
      </c>
      <c r="KZ10" s="337">
        <v>585.03437699999995</v>
      </c>
      <c r="LA10" s="173">
        <v>60.403463000000002</v>
      </c>
      <c r="LB10" s="172">
        <f t="shared" si="3"/>
        <v>484.73075829748427</v>
      </c>
      <c r="LC10" s="704">
        <v>437.86705977203371</v>
      </c>
      <c r="LD10" s="173">
        <v>84.243924954276636</v>
      </c>
      <c r="LE10" s="172">
        <f t="shared" si="4"/>
        <v>440.02521806561583</v>
      </c>
      <c r="LF10" s="1138">
        <v>483.44932682341101</v>
      </c>
      <c r="LG10" s="1139">
        <v>90.012349264653196</v>
      </c>
      <c r="LH10" s="128"/>
      <c r="LI10" s="169" t="s">
        <v>532</v>
      </c>
      <c r="LJ10" s="703">
        <v>816.22776899999997</v>
      </c>
      <c r="LK10" s="704">
        <v>742.23716400000001</v>
      </c>
      <c r="LL10" s="704">
        <v>73.990605000000002</v>
      </c>
      <c r="LM10" s="704">
        <v>308.24993000000001</v>
      </c>
      <c r="LN10" s="704">
        <v>58.346411000000003</v>
      </c>
      <c r="LO10" s="173">
        <v>32.788378000000002</v>
      </c>
      <c r="LP10" s="703">
        <v>809.45552008573407</v>
      </c>
      <c r="LQ10" s="704">
        <v>679.6903853182281</v>
      </c>
      <c r="LR10" s="704">
        <v>129.76513476750591</v>
      </c>
      <c r="LS10" s="704">
        <v>310.26079010713886</v>
      </c>
      <c r="LT10" s="704">
        <v>38.575622504832701</v>
      </c>
      <c r="LU10" s="173">
        <v>30.964991887518117</v>
      </c>
      <c r="LV10" s="1137">
        <v>808.849352980194</v>
      </c>
      <c r="LW10" s="1138">
        <v>705.381515901385</v>
      </c>
      <c r="LX10" s="1138">
        <v>103.467837078809</v>
      </c>
      <c r="LY10" s="1138">
        <v>263.08918163616403</v>
      </c>
      <c r="LZ10" s="1138">
        <v>17.4616282825348</v>
      </c>
      <c r="MA10" s="1139">
        <v>35.264854078976299</v>
      </c>
      <c r="MC10" s="169" t="s">
        <v>532</v>
      </c>
      <c r="MD10" s="703">
        <v>0</v>
      </c>
      <c r="ME10" s="704">
        <v>36.637666000000003</v>
      </c>
      <c r="MF10" s="704">
        <v>229.00723400000001</v>
      </c>
      <c r="MG10" s="704">
        <v>189.13699</v>
      </c>
      <c r="MH10" s="704">
        <v>201.30783600000001</v>
      </c>
      <c r="MI10" s="173">
        <v>87.147435999999999</v>
      </c>
      <c r="MJ10" s="703">
        <v>0</v>
      </c>
      <c r="MK10" s="704">
        <v>29.193467388858512</v>
      </c>
      <c r="ML10" s="704">
        <v>212.28847698005541</v>
      </c>
      <c r="MM10" s="704">
        <v>180.11629285214622</v>
      </c>
      <c r="MN10" s="704">
        <v>146.06632693295043</v>
      </c>
      <c r="MO10" s="173">
        <v>111.02582194573016</v>
      </c>
      <c r="MP10" s="1137">
        <v>0</v>
      </c>
      <c r="MQ10" s="1138">
        <v>11.007533666279301</v>
      </c>
      <c r="MR10" s="1138">
        <v>257.21241859050099</v>
      </c>
      <c r="MS10" s="1138">
        <v>184.67144347252801</v>
      </c>
      <c r="MT10" s="1138">
        <v>151.94151678634</v>
      </c>
      <c r="MU10" s="1139">
        <v>98.548601354966905</v>
      </c>
      <c r="MW10" s="169" t="s">
        <v>532</v>
      </c>
      <c r="MX10" s="172">
        <v>745.489465</v>
      </c>
      <c r="MY10" s="337">
        <v>660.65099199999997</v>
      </c>
      <c r="MZ10" s="337">
        <v>84.838472999999993</v>
      </c>
      <c r="NA10" s="703">
        <v>682.95318084122982</v>
      </c>
      <c r="NB10" s="704">
        <v>597.65922041535509</v>
      </c>
      <c r="NC10" s="173">
        <v>85.293960425874772</v>
      </c>
      <c r="ND10" s="1137">
        <v>726.20984713563803</v>
      </c>
      <c r="NE10" s="1138">
        <v>656.11841353570605</v>
      </c>
      <c r="NF10" s="1139">
        <v>70.091433599931904</v>
      </c>
      <c r="NH10" s="169" t="s">
        <v>532</v>
      </c>
      <c r="NI10" s="703">
        <v>325.13808625623369</v>
      </c>
      <c r="NJ10" s="173">
        <v>272.52113415912135</v>
      </c>
      <c r="NK10" s="703">
        <v>62.621182949292091</v>
      </c>
      <c r="NL10" s="704">
        <v>22.672777476582691</v>
      </c>
      <c r="NM10" s="173">
        <v>0</v>
      </c>
      <c r="NN10" s="1137">
        <v>364.10304159432599</v>
      </c>
      <c r="NO10" s="1139">
        <v>292.01537194138007</v>
      </c>
      <c r="NP10" s="1137">
        <v>51.583336948333098</v>
      </c>
      <c r="NQ10" s="1138">
        <v>18.508096651598802</v>
      </c>
      <c r="NR10" s="1139">
        <v>0</v>
      </c>
      <c r="NS10" s="136"/>
      <c r="NT10" s="169" t="s">
        <v>532</v>
      </c>
      <c r="NU10" s="703">
        <v>165.84014707582318</v>
      </c>
      <c r="NV10" s="704">
        <v>16.166877151826451</v>
      </c>
      <c r="NW10" s="704">
        <v>3.2902642164210301</v>
      </c>
      <c r="NX10" s="173">
        <v>87.223845715050686</v>
      </c>
      <c r="NY10" s="1137">
        <v>147.29403512832801</v>
      </c>
      <c r="NZ10" s="1138">
        <v>14.1810519267271</v>
      </c>
      <c r="OA10" s="1138">
        <v>0</v>
      </c>
      <c r="OB10" s="1139">
        <v>130.540284886325</v>
      </c>
      <c r="OC10" s="553"/>
      <c r="OD10" s="169" t="s">
        <v>532</v>
      </c>
      <c r="OE10" s="703">
        <v>20.1172401654133</v>
      </c>
      <c r="OF10" s="704">
        <v>19.911197078292201</v>
      </c>
      <c r="OG10" s="704">
        <v>3.3807181235060799</v>
      </c>
      <c r="OH10" s="704">
        <v>9.7606735456038702</v>
      </c>
      <c r="OI10" s="704">
        <v>422.149608056136</v>
      </c>
      <c r="OJ10" s="704">
        <v>66.127970360975098</v>
      </c>
      <c r="OK10" s="173">
        <v>26.674982348605099</v>
      </c>
      <c r="OL10" s="703">
        <v>20.1172401654133</v>
      </c>
      <c r="OM10" s="704">
        <v>19.911197078292201</v>
      </c>
      <c r="ON10" s="704">
        <v>10.1161265849542</v>
      </c>
      <c r="OO10" s="704">
        <v>9.7606735456038702</v>
      </c>
      <c r="OP10" s="704">
        <v>512.03249930314803</v>
      </c>
      <c r="OQ10" s="704">
        <v>226.49329882106599</v>
      </c>
      <c r="OR10" s="173">
        <v>690.46979414498503</v>
      </c>
      <c r="OT10" s="169" t="s">
        <v>532</v>
      </c>
      <c r="OU10" s="172">
        <v>186.17650100000003</v>
      </c>
      <c r="OV10" s="337">
        <v>111.915905</v>
      </c>
      <c r="OW10" s="337">
        <v>202.93526199999999</v>
      </c>
      <c r="OX10" s="173">
        <v>483.84969000000001</v>
      </c>
      <c r="OY10" s="703">
        <v>115.38416616888424</v>
      </c>
      <c r="OZ10" s="704">
        <v>73.769196312787187</v>
      </c>
      <c r="PA10" s="704">
        <v>159.15631274457729</v>
      </c>
      <c r="PB10" s="173">
        <v>514.21073876387823</v>
      </c>
      <c r="PC10" s="1137">
        <v>107.96543682056101</v>
      </c>
      <c r="PD10" s="1138">
        <v>72.726924397469503</v>
      </c>
      <c r="PE10" s="1138">
        <v>152.509936720952</v>
      </c>
      <c r="PF10" s="1139">
        <v>580.84073356449949</v>
      </c>
      <c r="PH10" s="169" t="s">
        <v>532</v>
      </c>
      <c r="PI10" s="703">
        <v>34.373588062235349</v>
      </c>
      <c r="PJ10" s="704">
        <v>40.115525939629798</v>
      </c>
      <c r="PK10" s="704">
        <v>89.181042445310993</v>
      </c>
      <c r="PL10" s="173">
        <v>254.25313999499491</v>
      </c>
      <c r="PM10" s="703">
        <v>73.591848758325696</v>
      </c>
      <c r="PN10" s="704">
        <v>32.611398457839599</v>
      </c>
      <c r="PO10" s="704">
        <v>63.328894275641403</v>
      </c>
      <c r="PP10" s="173">
        <v>326.58759356950452</v>
      </c>
      <c r="PQ10" s="65"/>
      <c r="PR10" s="169" t="s">
        <v>532</v>
      </c>
      <c r="PS10" s="1038">
        <v>42.0060997354609</v>
      </c>
      <c r="PT10" s="1039">
        <v>208.28010541799799</v>
      </c>
      <c r="PU10" s="1039">
        <v>39.294244827167297</v>
      </c>
      <c r="PV10" s="1039">
        <v>10.0000101538502</v>
      </c>
      <c r="PW10" s="1039">
        <v>287.99637955117998</v>
      </c>
      <c r="PX10" s="1040">
        <v>136.633005419212</v>
      </c>
      <c r="PZ10" s="169" t="s">
        <v>532</v>
      </c>
      <c r="QA10" s="1038">
        <v>437.21862556362902</v>
      </c>
      <c r="QB10" s="1039">
        <v>288.99122157200901</v>
      </c>
      <c r="QC10" s="1039">
        <v>173.802182686484</v>
      </c>
      <c r="QD10" s="1039">
        <v>52.017337966567403</v>
      </c>
      <c r="QE10" s="1039">
        <v>56.596999754865898</v>
      </c>
      <c r="QF10" s="1040">
        <v>6.5747011640921196</v>
      </c>
    </row>
    <row r="11" spans="1:448" ht="13.5" customHeight="1">
      <c r="A11" s="591" t="s">
        <v>476</v>
      </c>
      <c r="B11" s="167" t="s">
        <v>533</v>
      </c>
      <c r="C11" s="1103">
        <v>2258.1312360000002</v>
      </c>
      <c r="D11" s="690">
        <v>2070.9866107744469</v>
      </c>
      <c r="E11" s="691">
        <v>2042.7548473904401</v>
      </c>
      <c r="F11" s="428"/>
      <c r="G11" s="169" t="s">
        <v>533</v>
      </c>
      <c r="H11" s="577">
        <f t="shared" si="5"/>
        <v>-1.7153664906480737E-2</v>
      </c>
      <c r="I11" s="668">
        <f t="shared" si="6"/>
        <v>-2.7413964986553463E-3</v>
      </c>
      <c r="J11" s="612"/>
      <c r="K11" s="63"/>
      <c r="L11" s="167" t="s">
        <v>533</v>
      </c>
      <c r="M11" s="636">
        <v>40</v>
      </c>
      <c r="N11" s="637">
        <v>70</v>
      </c>
      <c r="O11" s="637">
        <v>66</v>
      </c>
      <c r="P11" s="637">
        <v>50</v>
      </c>
      <c r="Q11" s="637">
        <v>48</v>
      </c>
      <c r="R11" s="637">
        <v>64</v>
      </c>
      <c r="S11" s="637">
        <v>35</v>
      </c>
      <c r="T11" s="637">
        <v>12</v>
      </c>
      <c r="U11" s="1138">
        <v>30</v>
      </c>
      <c r="V11" s="1138">
        <v>21</v>
      </c>
      <c r="W11" s="1139">
        <v>14</v>
      </c>
      <c r="X11" s="169" t="s">
        <v>533</v>
      </c>
      <c r="Y11" s="666">
        <v>55</v>
      </c>
      <c r="Z11" s="667">
        <v>58</v>
      </c>
      <c r="AA11" s="667">
        <v>56</v>
      </c>
      <c r="AB11" s="667">
        <v>23.5</v>
      </c>
      <c r="AC11" s="667">
        <v>23.5</v>
      </c>
      <c r="AD11" s="668">
        <v>5.4545454545454543E-2</v>
      </c>
      <c r="AE11" s="668">
        <v>-3.4482758620689655E-2</v>
      </c>
      <c r="AF11" s="668">
        <v>-0.5803571428571429</v>
      </c>
      <c r="AG11" s="1213">
        <v>-3.4482758620689655E-2</v>
      </c>
      <c r="AN11" s="169" t="s">
        <v>533</v>
      </c>
      <c r="AO11" s="636">
        <v>3.8550209999999998</v>
      </c>
      <c r="AP11" s="637">
        <v>73.781431999999995</v>
      </c>
      <c r="AQ11" s="637">
        <v>278.416112</v>
      </c>
      <c r="AR11" s="637">
        <v>369.00750900000003</v>
      </c>
      <c r="AS11" s="637">
        <v>335.93095099999999</v>
      </c>
      <c r="AT11" s="637">
        <v>151.98382599999999</v>
      </c>
      <c r="AU11" s="637">
        <v>342.750584</v>
      </c>
      <c r="AV11" s="173">
        <v>582.01274699999999</v>
      </c>
      <c r="AW11" s="636">
        <v>3.4127622397285098</v>
      </c>
      <c r="AX11" s="637">
        <v>62.266687644976678</v>
      </c>
      <c r="AY11" s="637">
        <v>302.33544377574191</v>
      </c>
      <c r="AZ11" s="637">
        <v>267.49975864076879</v>
      </c>
      <c r="BA11" s="637">
        <v>399.19647957105008</v>
      </c>
      <c r="BB11" s="637">
        <v>138.68092393739022</v>
      </c>
      <c r="BC11" s="637">
        <v>180.71360993162747</v>
      </c>
      <c r="BD11" s="173">
        <v>499.8903512323264</v>
      </c>
      <c r="BE11" s="1137">
        <v>0</v>
      </c>
      <c r="BF11" s="1138">
        <v>35.260795696172003</v>
      </c>
      <c r="BG11" s="1138">
        <v>216.716811414462</v>
      </c>
      <c r="BH11" s="1138">
        <v>242.92978914440499</v>
      </c>
      <c r="BI11" s="1138">
        <v>383.90765841243098</v>
      </c>
      <c r="BJ11" s="1138">
        <v>138.72601213086301</v>
      </c>
      <c r="BK11" s="1138">
        <v>153.77538815925899</v>
      </c>
      <c r="BL11" s="1139">
        <v>631.79842885358505</v>
      </c>
      <c r="BN11" s="169" t="s">
        <v>533</v>
      </c>
      <c r="BO11" s="647">
        <v>119.393055</v>
      </c>
      <c r="BP11" s="648">
        <v>1051.487153</v>
      </c>
      <c r="BQ11" s="648">
        <v>347.51997699999998</v>
      </c>
      <c r="BR11" s="648">
        <v>359.04359299999999</v>
      </c>
      <c r="BS11" s="648">
        <v>204.81183300000001</v>
      </c>
      <c r="BT11" s="173">
        <v>175.87562600000001</v>
      </c>
      <c r="BU11" s="647">
        <v>216.99059380083705</v>
      </c>
      <c r="BV11" s="648">
        <v>988.58284776416895</v>
      </c>
      <c r="BW11" s="648">
        <v>401.64555262772768</v>
      </c>
      <c r="BX11" s="648">
        <v>231.82960132488395</v>
      </c>
      <c r="BY11" s="648">
        <v>153.70042564764719</v>
      </c>
      <c r="BZ11" s="173">
        <v>78.237589609182223</v>
      </c>
      <c r="CA11" s="1137">
        <v>238.63996256388199</v>
      </c>
      <c r="CB11" s="1138">
        <v>1027.1052329141701</v>
      </c>
      <c r="CC11" s="1138">
        <v>351.68301847885101</v>
      </c>
      <c r="CD11" s="1138">
        <v>195.15833931444399</v>
      </c>
      <c r="CE11" s="1138">
        <v>179.320489676405</v>
      </c>
      <c r="CF11" s="1139">
        <v>50.847804442695498</v>
      </c>
      <c r="CG11" s="429"/>
      <c r="CH11" s="169" t="s">
        <v>533</v>
      </c>
      <c r="CI11" s="172">
        <v>278.34082599999999</v>
      </c>
      <c r="CJ11" s="337">
        <v>1701.279145</v>
      </c>
      <c r="CK11" s="337">
        <v>278.51126499999998</v>
      </c>
      <c r="CL11" s="647">
        <v>443.39931835732477</v>
      </c>
      <c r="CM11" s="648">
        <v>1473.977919968522</v>
      </c>
      <c r="CN11" s="648">
        <v>153.60937244860028</v>
      </c>
      <c r="CO11" s="1137">
        <v>502.85559613027903</v>
      </c>
      <c r="CP11" s="1138">
        <v>1362.0660902284001</v>
      </c>
      <c r="CQ11" s="1139">
        <v>177.83316103176401</v>
      </c>
      <c r="CR11" s="433"/>
      <c r="CS11" s="232" t="s">
        <v>644</v>
      </c>
      <c r="CT11" s="130">
        <v>-225.37767400000001</v>
      </c>
      <c r="CU11" s="130">
        <v>216.63682499999999</v>
      </c>
      <c r="CV11" s="130">
        <v>-1312.851087</v>
      </c>
      <c r="CW11" s="130">
        <v>1145.435291</v>
      </c>
      <c r="CX11" s="130">
        <v>-229.72444043505001</v>
      </c>
      <c r="CY11" s="130">
        <v>163.54763194696724</v>
      </c>
      <c r="CZ11" s="130">
        <v>-1381.1278524016966</v>
      </c>
      <c r="DA11" s="130">
        <v>1198.4115927810078</v>
      </c>
      <c r="DB11" s="130">
        <v>-176.060023143481</v>
      </c>
      <c r="DC11" s="130">
        <v>195.890433674961</v>
      </c>
      <c r="DD11" s="130">
        <v>-1315.264722649674</v>
      </c>
      <c r="DE11" s="234">
        <v>1240.314739083489</v>
      </c>
      <c r="DG11" s="169" t="s">
        <v>533</v>
      </c>
      <c r="DH11" s="1147" t="s">
        <v>727</v>
      </c>
      <c r="DI11" s="1150" t="s">
        <v>786</v>
      </c>
      <c r="DJ11" s="704" t="s">
        <v>787</v>
      </c>
      <c r="DK11" s="704" t="s">
        <v>788</v>
      </c>
      <c r="DL11" s="337" t="s">
        <v>789</v>
      </c>
      <c r="DM11" s="174" t="s">
        <v>790</v>
      </c>
      <c r="DN11" s="451"/>
      <c r="DO11" s="167" t="s">
        <v>533</v>
      </c>
      <c r="DP11" s="704">
        <v>1608.9240769999999</v>
      </c>
      <c r="DQ11" s="337">
        <v>1407.0977259888232</v>
      </c>
      <c r="DR11" s="1139">
        <v>1350.08249311179</v>
      </c>
      <c r="DS11" s="63"/>
      <c r="DT11" s="169" t="s">
        <v>533</v>
      </c>
      <c r="DU11" s="172">
        <v>2237.1312619999999</v>
      </c>
      <c r="DV11" s="337">
        <v>2053.9866240601641</v>
      </c>
      <c r="DW11" s="1139">
        <v>1942.75474585194</v>
      </c>
      <c r="DX11" s="63"/>
      <c r="DY11" s="169" t="s">
        <v>533</v>
      </c>
      <c r="DZ11" s="1089">
        <f t="shared" si="0"/>
        <v>1.3904517273253534</v>
      </c>
      <c r="EA11" s="787">
        <f t="shared" si="1"/>
        <v>1.4597327435923091</v>
      </c>
      <c r="EB11" s="776">
        <f t="shared" si="2"/>
        <v>1.4389896586053097</v>
      </c>
      <c r="EC11" s="55"/>
      <c r="ED11" s="541"/>
      <c r="EE11" s="169" t="s">
        <v>533</v>
      </c>
      <c r="EF11" s="735">
        <v>1143.0622450000001</v>
      </c>
      <c r="EG11" s="736">
        <v>64.083326999999997</v>
      </c>
      <c r="EH11" s="736">
        <v>265.0539</v>
      </c>
      <c r="EI11" s="736">
        <v>81.252604000000005</v>
      </c>
      <c r="EJ11" s="736">
        <v>55.472000999999999</v>
      </c>
      <c r="EK11" s="703">
        <v>973.90268814279011</v>
      </c>
      <c r="EL11" s="704">
        <v>55.229907971661632</v>
      </c>
      <c r="EM11" s="704">
        <v>189.13136423848076</v>
      </c>
      <c r="EN11" s="704">
        <v>86.249215075724365</v>
      </c>
      <c r="EO11" s="704">
        <v>102.58455056016631</v>
      </c>
      <c r="EP11" s="1137">
        <v>1006.6995524395001</v>
      </c>
      <c r="EQ11" s="1138">
        <v>34.660108200999701</v>
      </c>
      <c r="ER11" s="1138">
        <v>130.66995221532</v>
      </c>
      <c r="ES11" s="1138">
        <v>93.573577816551804</v>
      </c>
      <c r="ET11" s="1139">
        <v>84.479302439418504</v>
      </c>
      <c r="EU11" s="430"/>
      <c r="EV11" s="169" t="s">
        <v>533</v>
      </c>
      <c r="EW11" s="703">
        <v>446.38466199999999</v>
      </c>
      <c r="EX11" s="704">
        <v>455.75455099999999</v>
      </c>
      <c r="EY11" s="704">
        <v>180.87007399999999</v>
      </c>
      <c r="EZ11" s="704">
        <v>60.052957999999997</v>
      </c>
      <c r="FA11" s="703">
        <v>723.73956399999997</v>
      </c>
      <c r="FB11" s="704">
        <v>883.19167300000004</v>
      </c>
      <c r="FC11" s="704">
        <v>383.10122000000001</v>
      </c>
      <c r="FD11" s="704">
        <v>127.705749</v>
      </c>
      <c r="FE11" s="703">
        <v>468.05780564538287</v>
      </c>
      <c r="FF11" s="704">
        <v>334.90671301684358</v>
      </c>
      <c r="FG11" s="704">
        <v>130.13011361508234</v>
      </c>
      <c r="FH11" s="173">
        <v>40.808055865481357</v>
      </c>
      <c r="FI11" s="703">
        <v>724.09315643512934</v>
      </c>
      <c r="FJ11" s="704">
        <v>778.26546128297412</v>
      </c>
      <c r="FK11" s="746">
        <v>287.00383219628475</v>
      </c>
      <c r="FL11" s="747">
        <v>47.63358034493838</v>
      </c>
      <c r="FM11" s="1137">
        <v>459.23586265384699</v>
      </c>
      <c r="FN11" s="1138">
        <v>350.41672414725701</v>
      </c>
      <c r="FO11" s="1138">
        <v>171.744976820088</v>
      </c>
      <c r="FP11" s="1139">
        <v>27.301990849075601</v>
      </c>
      <c r="FQ11" s="1137">
        <v>698.94680091201406</v>
      </c>
      <c r="FR11" s="1138">
        <v>708.202673102777</v>
      </c>
      <c r="FS11" s="1138">
        <v>271.66332045496301</v>
      </c>
      <c r="FT11" s="1139">
        <v>27.301990849075601</v>
      </c>
      <c r="FV11" s="167" t="s">
        <v>533</v>
      </c>
      <c r="FW11" s="337">
        <v>275.99966899999998</v>
      </c>
      <c r="FX11" s="337">
        <v>83.127364</v>
      </c>
      <c r="FY11" s="337">
        <v>23.788992</v>
      </c>
      <c r="FZ11" s="173">
        <v>18.862480000000001</v>
      </c>
      <c r="GA11" s="703">
        <v>206.24908357628368</v>
      </c>
      <c r="GB11" s="704">
        <v>92.244764049166363</v>
      </c>
      <c r="GC11" s="704">
        <v>55.499110359945888</v>
      </c>
      <c r="GD11" s="173">
        <v>23.97217188897546</v>
      </c>
      <c r="GE11" s="1137">
        <v>137.42325544213199</v>
      </c>
      <c r="GF11" s="1138">
        <v>78.304237572620494</v>
      </c>
      <c r="GG11" s="1138">
        <v>60.0657480284668</v>
      </c>
      <c r="GH11" s="1139">
        <v>32.929591428070559</v>
      </c>
      <c r="GJ11" s="169" t="s">
        <v>533</v>
      </c>
      <c r="GK11" s="703">
        <v>1720.9980370000001</v>
      </c>
      <c r="GL11" s="704">
        <v>1596.9989003343533</v>
      </c>
      <c r="GM11" s="1139">
        <v>1639.5013728829199</v>
      </c>
      <c r="GO11" s="169" t="s">
        <v>533</v>
      </c>
      <c r="GP11" s="703">
        <v>1608.9240769999999</v>
      </c>
      <c r="GQ11" s="704">
        <v>22.358093</v>
      </c>
      <c r="GR11" s="173">
        <v>89.715867000000003</v>
      </c>
      <c r="GS11" s="703">
        <v>1407.0977259888232</v>
      </c>
      <c r="GT11" s="704">
        <v>30.888816931834242</v>
      </c>
      <c r="GU11" s="173">
        <v>159.01235741369581</v>
      </c>
      <c r="GV11" s="1137">
        <v>1352.08249514256</v>
      </c>
      <c r="GW11" s="1138">
        <v>67.206901563667998</v>
      </c>
      <c r="GX11" s="1139">
        <v>220.21197617669</v>
      </c>
      <c r="GZ11" s="169" t="s">
        <v>533</v>
      </c>
      <c r="HA11" s="172">
        <v>23.083915000000001</v>
      </c>
      <c r="HB11" s="337">
        <v>1694.0591010000001</v>
      </c>
      <c r="HC11" s="173">
        <f t="shared" si="7"/>
        <v>3.8550210000000789</v>
      </c>
      <c r="HD11" s="703">
        <v>33.792842723191207</v>
      </c>
      <c r="HE11" s="704">
        <v>1546.287294199429</v>
      </c>
      <c r="HF11" s="173">
        <f t="shared" si="8"/>
        <v>16.918763411733153</v>
      </c>
      <c r="HG11" s="583">
        <v>28.349006771933301</v>
      </c>
      <c r="HH11" s="1138">
        <v>1607.6356784080101</v>
      </c>
      <c r="HI11" s="173">
        <f t="shared" si="9"/>
        <v>3.5166877029764692</v>
      </c>
      <c r="HK11" s="169" t="s">
        <v>533</v>
      </c>
      <c r="HL11" s="704">
        <v>1608.9240769999999</v>
      </c>
      <c r="HM11" s="704">
        <v>3833.6132109999999</v>
      </c>
      <c r="HN11" s="776">
        <f t="shared" si="10"/>
        <v>2.3827185296077835</v>
      </c>
      <c r="HO11" s="703">
        <v>1407.0977259888232</v>
      </c>
      <c r="HP11" s="704">
        <v>3132.0725923470186</v>
      </c>
      <c r="HQ11" s="776">
        <f t="shared" si="11"/>
        <v>2.225909781885254</v>
      </c>
      <c r="HR11" s="1138">
        <v>1352.08249514256</v>
      </c>
      <c r="HS11" s="1138">
        <v>2959.0929776840499</v>
      </c>
      <c r="HT11" s="784">
        <f t="shared" si="12"/>
        <v>2.1885446992434074</v>
      </c>
      <c r="HV11" s="169" t="s">
        <v>533</v>
      </c>
      <c r="HW11" s="172">
        <v>20.963621</v>
      </c>
      <c r="HX11" s="337">
        <v>135.692149</v>
      </c>
      <c r="HY11" s="787">
        <f t="shared" si="13"/>
        <v>6.4727438546995293</v>
      </c>
      <c r="HZ11" s="704">
        <v>1584.1054349999999</v>
      </c>
      <c r="IA11" s="704">
        <v>3694.0660400000002</v>
      </c>
      <c r="IB11" s="787">
        <f t="shared" si="14"/>
        <v>2.3319571780902324</v>
      </c>
      <c r="IC11" s="703">
        <v>30.452601766476668</v>
      </c>
      <c r="ID11" s="704">
        <v>155.67753729843008</v>
      </c>
      <c r="IE11" s="787">
        <f t="shared" si="15"/>
        <v>5.1121260013259553</v>
      </c>
      <c r="IF11" s="704">
        <v>1359.7263608106136</v>
      </c>
      <c r="IG11" s="704">
        <v>2945.8977665713965</v>
      </c>
      <c r="IH11" s="776">
        <f t="shared" si="16"/>
        <v>2.1665372176907507</v>
      </c>
      <c r="II11" s="1137">
        <v>21.446968701091699</v>
      </c>
      <c r="IJ11" s="1138">
        <v>123.12602521568</v>
      </c>
      <c r="IK11" s="1170">
        <f t="shared" si="17"/>
        <v>5.740952343041962</v>
      </c>
      <c r="IL11" s="1138">
        <v>1327.11883873849</v>
      </c>
      <c r="IM11" s="1138">
        <v>2825.4168893594401</v>
      </c>
      <c r="IN11" s="1171">
        <f t="shared" si="18"/>
        <v>2.1289855941199485</v>
      </c>
      <c r="IP11" s="169" t="s">
        <v>533</v>
      </c>
      <c r="IQ11" s="703">
        <v>435.52710000000002</v>
      </c>
      <c r="IR11" s="704">
        <v>553.15632600000004</v>
      </c>
      <c r="IS11" s="704">
        <v>370.00970599999999</v>
      </c>
      <c r="IT11" s="704">
        <v>151.782251</v>
      </c>
      <c r="IU11" s="704">
        <v>98.448694000000003</v>
      </c>
      <c r="IV11" s="704">
        <v>3833.6132109999999</v>
      </c>
      <c r="IW11" s="703">
        <v>470.58825073564151</v>
      </c>
      <c r="IX11" s="704">
        <v>463.93052724072481</v>
      </c>
      <c r="IY11" s="704">
        <v>263.60220928275851</v>
      </c>
      <c r="IZ11" s="704">
        <v>159.97254389528706</v>
      </c>
      <c r="JA11" s="704">
        <v>49.004194834411372</v>
      </c>
      <c r="JB11" s="173">
        <v>3132.0725923470186</v>
      </c>
      <c r="JC11" s="1137">
        <v>492.02999323413297</v>
      </c>
      <c r="JD11" s="1138">
        <v>409.78222707498298</v>
      </c>
      <c r="JE11" s="1138">
        <v>259.33416254322998</v>
      </c>
      <c r="JF11" s="1138">
        <v>122.16635826835</v>
      </c>
      <c r="JG11" s="1138">
        <v>68.769754021860706</v>
      </c>
      <c r="JH11" s="1139">
        <v>2959.0929776840499</v>
      </c>
      <c r="JJ11" s="169" t="s">
        <v>533</v>
      </c>
      <c r="JK11" s="172">
        <v>263.525845</v>
      </c>
      <c r="JL11" s="337">
        <v>812.13027199999988</v>
      </c>
      <c r="JM11" s="337">
        <v>517.38007300000004</v>
      </c>
      <c r="JN11" s="173">
        <v>15.887886999999999</v>
      </c>
      <c r="JO11" s="703">
        <v>128.51027623284719</v>
      </c>
      <c r="JP11" s="704">
        <v>760.11559263974902</v>
      </c>
      <c r="JQ11" s="704">
        <v>487.8429588355333</v>
      </c>
      <c r="JR11" s="173">
        <v>30.628898280693491</v>
      </c>
      <c r="JS11" s="1137">
        <v>124.136364368643</v>
      </c>
      <c r="JT11" s="1138">
        <v>720.31566229766304</v>
      </c>
      <c r="JU11" s="1138">
        <v>477.83928403757699</v>
      </c>
      <c r="JV11" s="1139">
        <v>29.7911844386723</v>
      </c>
      <c r="JW11" s="432"/>
      <c r="JX11" s="169" t="s">
        <v>533</v>
      </c>
      <c r="JY11" s="703">
        <v>470.86375757219503</v>
      </c>
      <c r="JZ11" s="704">
        <v>498.21038753222001</v>
      </c>
      <c r="KA11" s="704">
        <v>160.49474625486201</v>
      </c>
      <c r="KB11" s="173">
        <v>222.51360378327999</v>
      </c>
      <c r="KC11" s="603"/>
      <c r="KD11" s="169" t="s">
        <v>533</v>
      </c>
      <c r="KE11" s="703">
        <v>248.004500183316</v>
      </c>
      <c r="KF11" s="704">
        <v>125.739736132762</v>
      </c>
      <c r="KG11" s="704">
        <v>215.525409607022</v>
      </c>
      <c r="KH11" s="704">
        <v>489.03543731603298</v>
      </c>
      <c r="KI11" s="704">
        <v>181.21804614701199</v>
      </c>
      <c r="KJ11" s="173">
        <v>63.605225230807598</v>
      </c>
      <c r="KK11" s="703">
        <v>13.6873386812101</v>
      </c>
      <c r="KL11" s="704">
        <v>0</v>
      </c>
      <c r="KM11" s="704">
        <v>3.3853573760912101</v>
      </c>
      <c r="KN11" s="704">
        <v>0</v>
      </c>
      <c r="KO11" s="704">
        <v>3.3766516134062798</v>
      </c>
      <c r="KP11" s="173">
        <v>0</v>
      </c>
      <c r="KQ11" s="703">
        <v>261.69183886452601</v>
      </c>
      <c r="KR11" s="704">
        <v>125.739736132762</v>
      </c>
      <c r="KS11" s="704">
        <v>218.91076698311301</v>
      </c>
      <c r="KT11" s="704">
        <v>492.55212501901002</v>
      </c>
      <c r="KU11" s="704">
        <v>184.594697760418</v>
      </c>
      <c r="KV11" s="173">
        <v>63.605225230807598</v>
      </c>
      <c r="KW11" s="429"/>
      <c r="KX11" s="169" t="s">
        <v>533</v>
      </c>
      <c r="KY11" s="172">
        <f t="shared" si="19"/>
        <v>733.86852199999987</v>
      </c>
      <c r="KZ11" s="337">
        <v>772.00558999999998</v>
      </c>
      <c r="LA11" s="173">
        <v>103.049965</v>
      </c>
      <c r="LB11" s="172">
        <f t="shared" si="3"/>
        <v>693.21186509364179</v>
      </c>
      <c r="LC11" s="704">
        <v>624.15829908118508</v>
      </c>
      <c r="LD11" s="173">
        <v>89.727561813996317</v>
      </c>
      <c r="LE11" s="172">
        <f t="shared" si="4"/>
        <v>816.68950286734389</v>
      </c>
      <c r="LF11" s="1138">
        <v>481.69643683930201</v>
      </c>
      <c r="LG11" s="1139">
        <v>51.696553405144101</v>
      </c>
      <c r="LH11" s="128"/>
      <c r="LI11" s="169" t="s">
        <v>533</v>
      </c>
      <c r="LJ11" s="703">
        <v>1224.06558</v>
      </c>
      <c r="LK11" s="704">
        <v>1052.3629989999999</v>
      </c>
      <c r="LL11" s="704">
        <v>171.70258200000001</v>
      </c>
      <c r="LM11" s="704">
        <v>448.57623999999998</v>
      </c>
      <c r="LN11" s="704">
        <v>98.316355000000001</v>
      </c>
      <c r="LO11" s="173">
        <v>89.268741000000006</v>
      </c>
      <c r="LP11" s="703">
        <v>1176.8233905793279</v>
      </c>
      <c r="LQ11" s="704">
        <v>960.57917382717505</v>
      </c>
      <c r="LR11" s="704">
        <v>216.24421675215291</v>
      </c>
      <c r="LS11" s="704">
        <v>408.74568290935457</v>
      </c>
      <c r="LT11" s="704">
        <v>40.75115633568015</v>
      </c>
      <c r="LU11" s="173">
        <v>74.066414700647144</v>
      </c>
      <c r="LV11" s="1137">
        <v>1036.4347253424801</v>
      </c>
      <c r="LW11" s="1138">
        <v>787.53156225494297</v>
      </c>
      <c r="LX11" s="1138">
        <v>248.903163087536</v>
      </c>
      <c r="LY11" s="1138">
        <v>474.67218787543902</v>
      </c>
      <c r="LZ11" s="1138">
        <v>6.7064902744889503</v>
      </c>
      <c r="MA11" s="1139">
        <v>108.46832030239101</v>
      </c>
      <c r="MC11" s="169" t="s">
        <v>533</v>
      </c>
      <c r="MD11" s="703">
        <v>3.8550209999999998</v>
      </c>
      <c r="ME11" s="704">
        <v>70.136623</v>
      </c>
      <c r="MF11" s="704">
        <v>263.33205600000002</v>
      </c>
      <c r="MG11" s="704">
        <v>303.26251100000002</v>
      </c>
      <c r="MH11" s="704">
        <v>294.57324499999999</v>
      </c>
      <c r="MI11" s="173">
        <v>117.203542</v>
      </c>
      <c r="MJ11" s="703">
        <v>3.4127622397285098</v>
      </c>
      <c r="MK11" s="704">
        <v>48.651017519630933</v>
      </c>
      <c r="ML11" s="704">
        <v>282.00804823054153</v>
      </c>
      <c r="MM11" s="704">
        <v>209.34315127340929</v>
      </c>
      <c r="MN11" s="704">
        <v>327.28033623140669</v>
      </c>
      <c r="MO11" s="173">
        <v>90.883857550945365</v>
      </c>
      <c r="MP11" s="1137">
        <v>0</v>
      </c>
      <c r="MQ11" s="1138">
        <v>24.850768676812699</v>
      </c>
      <c r="MR11" s="1138">
        <v>197.04817364006101</v>
      </c>
      <c r="MS11" s="1138">
        <v>195.38468428437901</v>
      </c>
      <c r="MT11" s="1138">
        <v>284.440803974998</v>
      </c>
      <c r="MU11" s="1139">
        <v>72.807118478688196</v>
      </c>
      <c r="MW11" s="169" t="s">
        <v>533</v>
      </c>
      <c r="MX11" s="172">
        <v>1056.2449710000001</v>
      </c>
      <c r="MY11" s="337">
        <v>946.00678100000005</v>
      </c>
      <c r="MZ11" s="337">
        <v>110.238191</v>
      </c>
      <c r="NA11" s="703">
        <v>963.91941217344879</v>
      </c>
      <c r="NB11" s="704">
        <v>883.5454525649493</v>
      </c>
      <c r="NC11" s="173">
        <v>80.373959608499419</v>
      </c>
      <c r="ND11" s="1137">
        <v>804.70359826380002</v>
      </c>
      <c r="NE11" s="1138">
        <v>722.62560304893998</v>
      </c>
      <c r="NF11" s="1139">
        <v>82.077995214860394</v>
      </c>
      <c r="NH11" s="169" t="s">
        <v>533</v>
      </c>
      <c r="NI11" s="703">
        <v>614.36481432561834</v>
      </c>
      <c r="NJ11" s="173">
        <v>269.18063823933102</v>
      </c>
      <c r="NK11" s="703">
        <v>61.238803877516638</v>
      </c>
      <c r="NL11" s="704">
        <v>19.135155730982778</v>
      </c>
      <c r="NM11" s="173">
        <v>0</v>
      </c>
      <c r="NN11" s="1137">
        <v>467.86130470230898</v>
      </c>
      <c r="NO11" s="1139">
        <v>254.76429834663099</v>
      </c>
      <c r="NP11" s="1137">
        <v>67.482638617876901</v>
      </c>
      <c r="NQ11" s="1138">
        <v>14.5953565969835</v>
      </c>
      <c r="NR11" s="1139">
        <v>0</v>
      </c>
      <c r="NS11" s="136"/>
      <c r="NT11" s="169" t="s">
        <v>533</v>
      </c>
      <c r="NU11" s="703">
        <v>177.24753368456797</v>
      </c>
      <c r="NV11" s="704">
        <v>20.601823531014851</v>
      </c>
      <c r="NW11" s="704">
        <v>0</v>
      </c>
      <c r="NX11" s="173">
        <v>71.331281023748204</v>
      </c>
      <c r="NY11" s="1137">
        <v>168.44261025432399</v>
      </c>
      <c r="NZ11" s="1138">
        <v>13.9863316301466</v>
      </c>
      <c r="OA11" s="1138">
        <v>6.76200898949749</v>
      </c>
      <c r="OB11" s="1139">
        <v>65.573347472662903</v>
      </c>
      <c r="OC11" s="553"/>
      <c r="OD11" s="169" t="s">
        <v>533</v>
      </c>
      <c r="OE11" s="703">
        <v>64.060739373223598</v>
      </c>
      <c r="OF11" s="704">
        <v>85.533630870641801</v>
      </c>
      <c r="OG11" s="704">
        <v>27.779597780196099</v>
      </c>
      <c r="OH11" s="704">
        <v>30.4595593182244</v>
      </c>
      <c r="OI11" s="704">
        <v>597.19863506239005</v>
      </c>
      <c r="OJ11" s="704">
        <v>59.662242723117998</v>
      </c>
      <c r="OK11" s="173">
        <v>15.6009793309805</v>
      </c>
      <c r="OL11" s="703">
        <v>87.020060984463896</v>
      </c>
      <c r="OM11" s="704">
        <v>85.533630870641801</v>
      </c>
      <c r="ON11" s="704">
        <v>27.779597780196099</v>
      </c>
      <c r="OO11" s="704">
        <v>30.4595593182244</v>
      </c>
      <c r="OP11" s="704">
        <v>754.48732891690202</v>
      </c>
      <c r="OQ11" s="704">
        <v>242.15834467904099</v>
      </c>
      <c r="OR11" s="173">
        <v>777.00965191239595</v>
      </c>
      <c r="OT11" s="169" t="s">
        <v>533</v>
      </c>
      <c r="OU11" s="172">
        <v>336.10933</v>
      </c>
      <c r="OV11" s="337">
        <v>176.26462000000001</v>
      </c>
      <c r="OW11" s="337">
        <v>284.28956099999999</v>
      </c>
      <c r="OX11" s="173">
        <v>676.98664299999996</v>
      </c>
      <c r="OY11" s="703">
        <v>187.13368090811545</v>
      </c>
      <c r="OZ11" s="704">
        <v>178.91350702075911</v>
      </c>
      <c r="PA11" s="704">
        <v>229.95792365178531</v>
      </c>
      <c r="PB11" s="173">
        <v>608.64733480190557</v>
      </c>
      <c r="PC11" s="1137">
        <v>164.1327655700604</v>
      </c>
      <c r="PD11" s="1138">
        <v>196.184904896901</v>
      </c>
      <c r="PE11" s="1138">
        <v>218.745473141182</v>
      </c>
      <c r="PF11" s="1139">
        <v>522.13032478370599</v>
      </c>
      <c r="PH11" s="169" t="s">
        <v>533</v>
      </c>
      <c r="PI11" s="703">
        <v>71.244510473192705</v>
      </c>
      <c r="PJ11" s="704">
        <v>102.106885856405</v>
      </c>
      <c r="PK11" s="704">
        <v>114.44120341094199</v>
      </c>
      <c r="PL11" s="173">
        <v>258.72995863507418</v>
      </c>
      <c r="PM11" s="703">
        <v>92.888255096867198</v>
      </c>
      <c r="PN11" s="704">
        <v>94.078019040496201</v>
      </c>
      <c r="PO11" s="704">
        <v>104.30426973023999</v>
      </c>
      <c r="PP11" s="173">
        <v>263.40036614863271</v>
      </c>
      <c r="PQ11" s="65"/>
      <c r="PR11" s="169" t="s">
        <v>533</v>
      </c>
      <c r="PS11" s="1038">
        <v>16.935541339229399</v>
      </c>
      <c r="PT11" s="1039">
        <v>208.09877271143199</v>
      </c>
      <c r="PU11" s="1039">
        <v>77.399053722352207</v>
      </c>
      <c r="PV11" s="1039">
        <v>10.287402455158899</v>
      </c>
      <c r="PW11" s="1039">
        <v>247.64853356691401</v>
      </c>
      <c r="PX11" s="1040">
        <v>231.334281268708</v>
      </c>
      <c r="PZ11" s="169" t="s">
        <v>533</v>
      </c>
      <c r="QA11" s="1038">
        <v>586.05386991152</v>
      </c>
      <c r="QB11" s="1039">
        <v>218.64972835227999</v>
      </c>
      <c r="QC11" s="1039">
        <v>134.727057804525</v>
      </c>
      <c r="QD11" s="1039">
        <v>45.859321485205101</v>
      </c>
      <c r="QE11" s="1039">
        <v>32.019275893670603</v>
      </c>
      <c r="QF11" s="1040">
        <v>6.0440731688791196</v>
      </c>
    </row>
    <row r="12" spans="1:448" ht="13.5" customHeight="1">
      <c r="A12" s="591" t="s">
        <v>477</v>
      </c>
      <c r="B12" s="167" t="s">
        <v>534</v>
      </c>
      <c r="C12" s="1103">
        <v>1675.774611</v>
      </c>
      <c r="D12" s="690">
        <v>1699.1559632223191</v>
      </c>
      <c r="E12" s="691">
        <v>1621.55901709725</v>
      </c>
      <c r="F12" s="428"/>
      <c r="G12" s="169" t="s">
        <v>534</v>
      </c>
      <c r="H12" s="577">
        <f t="shared" si="5"/>
        <v>2.7750679604023887E-3</v>
      </c>
      <c r="I12" s="668">
        <f t="shared" si="6"/>
        <v>-9.3051551578167135E-3</v>
      </c>
      <c r="J12" s="612"/>
      <c r="K12" s="63"/>
      <c r="L12" s="167" t="s">
        <v>534</v>
      </c>
      <c r="M12" s="636">
        <v>11</v>
      </c>
      <c r="N12" s="637">
        <v>20</v>
      </c>
      <c r="O12" s="637">
        <v>18</v>
      </c>
      <c r="P12" s="637">
        <v>19</v>
      </c>
      <c r="Q12" s="637">
        <v>25</v>
      </c>
      <c r="R12" s="637">
        <v>15</v>
      </c>
      <c r="S12" s="637">
        <v>18</v>
      </c>
      <c r="T12" s="637">
        <v>8</v>
      </c>
      <c r="U12" s="1138">
        <v>18</v>
      </c>
      <c r="V12" s="1138">
        <v>14</v>
      </c>
      <c r="W12" s="1139">
        <v>14</v>
      </c>
      <c r="X12" s="169" t="s">
        <v>534</v>
      </c>
      <c r="Y12" s="666">
        <v>15.5</v>
      </c>
      <c r="Z12" s="667">
        <v>18.5</v>
      </c>
      <c r="AA12" s="667">
        <v>20</v>
      </c>
      <c r="AB12" s="667">
        <v>13</v>
      </c>
      <c r="AC12" s="667">
        <v>13</v>
      </c>
      <c r="AD12" s="668">
        <v>0.19354838709677419</v>
      </c>
      <c r="AE12" s="668">
        <v>8.1081081081081086E-2</v>
      </c>
      <c r="AF12" s="668">
        <v>-0.35</v>
      </c>
      <c r="AG12" s="1213">
        <v>8.1081081081081086E-2</v>
      </c>
      <c r="AN12" s="169" t="s">
        <v>534</v>
      </c>
      <c r="AO12" s="636">
        <v>0</v>
      </c>
      <c r="AP12" s="637">
        <v>46.531022999999998</v>
      </c>
      <c r="AQ12" s="637">
        <v>206.45112499999999</v>
      </c>
      <c r="AR12" s="637">
        <v>203.47703899999999</v>
      </c>
      <c r="AS12" s="637">
        <v>214.59475599999999</v>
      </c>
      <c r="AT12" s="637">
        <v>72.303617000000003</v>
      </c>
      <c r="AU12" s="637">
        <v>287.85427499999997</v>
      </c>
      <c r="AV12" s="173">
        <v>407.24108799999999</v>
      </c>
      <c r="AW12" s="636">
        <v>0</v>
      </c>
      <c r="AX12" s="637">
        <v>47.311001158258222</v>
      </c>
      <c r="AY12" s="637">
        <v>246.6983954890444</v>
      </c>
      <c r="AZ12" s="637">
        <v>221.16267676719488</v>
      </c>
      <c r="BA12" s="637">
        <v>196.72582301843261</v>
      </c>
      <c r="BB12" s="637">
        <v>78.927675983043756</v>
      </c>
      <c r="BC12" s="637">
        <v>337.0277096850931</v>
      </c>
      <c r="BD12" s="173">
        <v>354.68698128568388</v>
      </c>
      <c r="BE12" s="1137">
        <v>0</v>
      </c>
      <c r="BF12" s="1138">
        <v>26.143486933206901</v>
      </c>
      <c r="BG12" s="1138">
        <v>245.73580862937499</v>
      </c>
      <c r="BH12" s="1138">
        <v>206.933172302353</v>
      </c>
      <c r="BI12" s="1138">
        <v>177.515546686611</v>
      </c>
      <c r="BJ12" s="1138">
        <v>122.33859995041</v>
      </c>
      <c r="BK12" s="1138">
        <v>389.93252654924203</v>
      </c>
      <c r="BL12" s="1139">
        <v>268.80449147741598</v>
      </c>
      <c r="BN12" s="169" t="s">
        <v>534</v>
      </c>
      <c r="BO12" s="647">
        <v>242.32168300000001</v>
      </c>
      <c r="BP12" s="648">
        <v>615.44657299999994</v>
      </c>
      <c r="BQ12" s="648">
        <v>281.39778100000001</v>
      </c>
      <c r="BR12" s="648">
        <v>241.780102</v>
      </c>
      <c r="BS12" s="648">
        <v>182.222508</v>
      </c>
      <c r="BT12" s="173">
        <v>112.605965</v>
      </c>
      <c r="BU12" s="647">
        <v>213.61570218010672</v>
      </c>
      <c r="BV12" s="648">
        <v>627.54492504897689</v>
      </c>
      <c r="BW12" s="648">
        <v>286.58085058369898</v>
      </c>
      <c r="BX12" s="648">
        <v>171.42399764003895</v>
      </c>
      <c r="BY12" s="648">
        <v>205.49507788851216</v>
      </c>
      <c r="BZ12" s="173">
        <v>194.49540988098568</v>
      </c>
      <c r="CA12" s="1137">
        <v>185.15538558402301</v>
      </c>
      <c r="CB12" s="1138">
        <v>567.32891367304501</v>
      </c>
      <c r="CC12" s="1138">
        <v>186.99984105579301</v>
      </c>
      <c r="CD12" s="1138">
        <v>196.76807774382701</v>
      </c>
      <c r="CE12" s="1138">
        <v>281.11174450047798</v>
      </c>
      <c r="CF12" s="1139">
        <v>204.19505454008601</v>
      </c>
      <c r="CG12" s="429"/>
      <c r="CH12" s="169" t="s">
        <v>534</v>
      </c>
      <c r="CI12" s="172">
        <v>417.54740299999997</v>
      </c>
      <c r="CJ12" s="337">
        <v>1028.9182450000001</v>
      </c>
      <c r="CK12" s="337">
        <v>229.308964</v>
      </c>
      <c r="CL12" s="647">
        <v>425.98197948880767</v>
      </c>
      <c r="CM12" s="648">
        <v>950.21635834454503</v>
      </c>
      <c r="CN12" s="648">
        <v>322.95762538896673</v>
      </c>
      <c r="CO12" s="1137">
        <v>322.49327890276902</v>
      </c>
      <c r="CP12" s="1138">
        <v>887.52014431395105</v>
      </c>
      <c r="CQ12" s="1139">
        <v>411.54559388053099</v>
      </c>
      <c r="CR12" s="429"/>
      <c r="CS12" s="232" t="s">
        <v>645</v>
      </c>
      <c r="CT12" s="130">
        <v>-153.742369</v>
      </c>
      <c r="CU12" s="130">
        <v>181.21434500000001</v>
      </c>
      <c r="CV12" s="130">
        <v>-834.80101300000001</v>
      </c>
      <c r="CW12" s="130">
        <v>1092.5118789999999</v>
      </c>
      <c r="CX12" s="130">
        <v>-158.81500968953117</v>
      </c>
      <c r="CY12" s="130">
        <v>185.93329733500417</v>
      </c>
      <c r="CZ12" s="130">
        <v>-1066.026084669305</v>
      </c>
      <c r="DA12" s="130">
        <v>1159.9173310925887</v>
      </c>
      <c r="DB12" s="130">
        <v>-214.923501716244</v>
      </c>
      <c r="DC12" s="130">
        <v>210.28974166262699</v>
      </c>
      <c r="DD12" s="130">
        <v>-1135.0942730968231</v>
      </c>
      <c r="DE12" s="234">
        <v>1136.9126804795389</v>
      </c>
      <c r="DG12" s="169" t="s">
        <v>534</v>
      </c>
      <c r="DH12" s="1147" t="s">
        <v>728</v>
      </c>
      <c r="DI12" s="1150" t="s">
        <v>791</v>
      </c>
      <c r="DJ12" s="704" t="s">
        <v>792</v>
      </c>
      <c r="DK12" s="704" t="s">
        <v>793</v>
      </c>
      <c r="DL12" s="337" t="s">
        <v>794</v>
      </c>
      <c r="DM12" s="174" t="s">
        <v>795</v>
      </c>
      <c r="DN12" s="451"/>
      <c r="DO12" s="167" t="s">
        <v>534</v>
      </c>
      <c r="DP12" s="704">
        <v>1010.302271</v>
      </c>
      <c r="DQ12" s="337">
        <v>1000.0374502213558</v>
      </c>
      <c r="DR12" s="1139">
        <v>997.30645064043199</v>
      </c>
      <c r="DS12" s="63"/>
      <c r="DT12" s="169" t="s">
        <v>534</v>
      </c>
      <c r="DU12" s="172">
        <v>1637.774658</v>
      </c>
      <c r="DV12" s="337">
        <v>1649.1560022979561</v>
      </c>
      <c r="DW12" s="1139">
        <v>1580.55897546647</v>
      </c>
      <c r="DX12" s="63"/>
      <c r="DY12" s="169" t="s">
        <v>534</v>
      </c>
      <c r="DZ12" s="1089">
        <f t="shared" si="0"/>
        <v>1.62107391521443</v>
      </c>
      <c r="EA12" s="787">
        <f t="shared" si="1"/>
        <v>1.6490942433535059</v>
      </c>
      <c r="EB12" s="776">
        <f t="shared" si="2"/>
        <v>1.5848277873380801</v>
      </c>
      <c r="EC12" s="55"/>
      <c r="ED12" s="541"/>
      <c r="EE12" s="169" t="s">
        <v>534</v>
      </c>
      <c r="EF12" s="735">
        <v>633.509953</v>
      </c>
      <c r="EG12" s="736">
        <v>30.513943000000001</v>
      </c>
      <c r="EH12" s="736">
        <v>162.23199099999999</v>
      </c>
      <c r="EI12" s="736">
        <v>104.52063099999999</v>
      </c>
      <c r="EJ12" s="736">
        <v>79.525752999999995</v>
      </c>
      <c r="EK12" s="703">
        <v>599.99380794063802</v>
      </c>
      <c r="EL12" s="704">
        <v>33.089911770350419</v>
      </c>
      <c r="EM12" s="704">
        <v>183.81191826539128</v>
      </c>
      <c r="EN12" s="704">
        <v>116.1111771675928</v>
      </c>
      <c r="EO12" s="704">
        <v>67.030635077383295</v>
      </c>
      <c r="EP12" s="1137">
        <v>603.46540253010505</v>
      </c>
      <c r="EQ12" s="1138">
        <v>33.726731827612902</v>
      </c>
      <c r="ER12" s="1138">
        <v>207.61518749623301</v>
      </c>
      <c r="ES12" s="1138">
        <v>89.485152148906394</v>
      </c>
      <c r="ET12" s="1139">
        <v>63.013976637574999</v>
      </c>
      <c r="EV12" s="169" t="s">
        <v>534</v>
      </c>
      <c r="EW12" s="703">
        <v>264.91255200000001</v>
      </c>
      <c r="EX12" s="704">
        <v>226.18587299999999</v>
      </c>
      <c r="EY12" s="704">
        <v>103.38828700000001</v>
      </c>
      <c r="EZ12" s="704">
        <v>39.023240999999999</v>
      </c>
      <c r="FA12" s="703">
        <v>443.13297299999999</v>
      </c>
      <c r="FB12" s="704">
        <v>608.89397499999995</v>
      </c>
      <c r="FC12" s="704">
        <v>302.867547</v>
      </c>
      <c r="FD12" s="704">
        <v>63.558453</v>
      </c>
      <c r="FE12" s="703">
        <v>249.67299371280325</v>
      </c>
      <c r="FF12" s="704">
        <v>172.61654489125414</v>
      </c>
      <c r="FG12" s="704">
        <v>106.87984953136046</v>
      </c>
      <c r="FH12" s="173">
        <v>70.82441980522016</v>
      </c>
      <c r="FI12" s="703">
        <v>440.80938165519444</v>
      </c>
      <c r="FJ12" s="704">
        <v>557.57301174664872</v>
      </c>
      <c r="FK12" s="746">
        <v>331.06477078419084</v>
      </c>
      <c r="FL12" s="747">
        <v>125.09312108307329</v>
      </c>
      <c r="FM12" s="1137">
        <v>161.49847961217199</v>
      </c>
      <c r="FN12" s="1138">
        <v>178.46801576585</v>
      </c>
      <c r="FO12" s="1138">
        <v>183.77196170656299</v>
      </c>
      <c r="FP12" s="1139">
        <v>79.726945445520897</v>
      </c>
      <c r="FQ12" s="1137">
        <v>340.78017906203797</v>
      </c>
      <c r="FR12" s="1138">
        <v>499.338758266762</v>
      </c>
      <c r="FS12" s="1138">
        <v>436.52905670680298</v>
      </c>
      <c r="FT12" s="1139">
        <v>135.75561310838501</v>
      </c>
      <c r="FV12" s="167" t="s">
        <v>534</v>
      </c>
      <c r="FW12" s="337">
        <v>171.872232</v>
      </c>
      <c r="FX12" s="337">
        <v>86.589761999999993</v>
      </c>
      <c r="FY12" s="337">
        <v>53.403939000000001</v>
      </c>
      <c r="FZ12" s="173">
        <v>34.412441999999999</v>
      </c>
      <c r="GA12" s="703">
        <v>200.23476160124099</v>
      </c>
      <c r="GB12" s="704">
        <v>84.585409917202014</v>
      </c>
      <c r="GC12" s="704">
        <v>54.663227382759132</v>
      </c>
      <c r="GD12" s="173">
        <v>27.470331609165267</v>
      </c>
      <c r="GE12" s="1137">
        <v>213.99042904911701</v>
      </c>
      <c r="GF12" s="1138">
        <v>74.621579230128503</v>
      </c>
      <c r="GG12" s="1138">
        <v>57.629795724706398</v>
      </c>
      <c r="GH12" s="1139">
        <v>13.87251227876204</v>
      </c>
      <c r="GJ12" s="169" t="s">
        <v>534</v>
      </c>
      <c r="GK12" s="703">
        <v>1158.998767</v>
      </c>
      <c r="GL12" s="704">
        <v>1182.9992184573905</v>
      </c>
      <c r="GM12" s="1139">
        <v>1197.5010126489999</v>
      </c>
      <c r="GO12" s="169" t="s">
        <v>534</v>
      </c>
      <c r="GP12" s="703">
        <v>1010.302271</v>
      </c>
      <c r="GQ12" s="704">
        <v>45.313529000000003</v>
      </c>
      <c r="GR12" s="173">
        <v>103.38296699999999</v>
      </c>
      <c r="GS12" s="703">
        <v>1000.0374502213558</v>
      </c>
      <c r="GT12" s="704">
        <v>36.323509077179871</v>
      </c>
      <c r="GU12" s="173">
        <v>146.63825915885462</v>
      </c>
      <c r="GV12" s="1137">
        <v>997.30645064043199</v>
      </c>
      <c r="GW12" s="1138">
        <v>51.704514139278302</v>
      </c>
      <c r="GX12" s="1139">
        <v>148.49004786929001</v>
      </c>
      <c r="GZ12" s="169" t="s">
        <v>534</v>
      </c>
      <c r="HA12" s="172">
        <v>200.525137</v>
      </c>
      <c r="HB12" s="337">
        <v>955.10944199999994</v>
      </c>
      <c r="HC12" s="173">
        <f t="shared" si="7"/>
        <v>3.3641880000000128</v>
      </c>
      <c r="HD12" s="703">
        <v>212.69757652892176</v>
      </c>
      <c r="HE12" s="704">
        <v>953.2901120923384</v>
      </c>
      <c r="HF12" s="173">
        <f t="shared" si="8"/>
        <v>17.011529836130421</v>
      </c>
      <c r="HG12" s="583">
        <v>181.54444009998201</v>
      </c>
      <c r="HH12" s="1138">
        <v>1009.69704880731</v>
      </c>
      <c r="HI12" s="173">
        <f t="shared" si="9"/>
        <v>6.2595237417078806</v>
      </c>
      <c r="HK12" s="169" t="s">
        <v>534</v>
      </c>
      <c r="HL12" s="704">
        <v>1010.302271</v>
      </c>
      <c r="HM12" s="704">
        <v>2981.8302399999998</v>
      </c>
      <c r="HN12" s="776">
        <f t="shared" si="10"/>
        <v>2.9514238714405501</v>
      </c>
      <c r="HO12" s="703">
        <v>1000.0374502213558</v>
      </c>
      <c r="HP12" s="704">
        <v>3074.9563331620129</v>
      </c>
      <c r="HQ12" s="776">
        <f t="shared" si="11"/>
        <v>3.0748411796792001</v>
      </c>
      <c r="HR12" s="1138">
        <v>997.30645064043199</v>
      </c>
      <c r="HS12" s="1138">
        <v>3127.8155026026002</v>
      </c>
      <c r="HT12" s="784">
        <f t="shared" si="12"/>
        <v>3.1362631822886908</v>
      </c>
      <c r="HV12" s="169" t="s">
        <v>534</v>
      </c>
      <c r="HW12" s="172">
        <v>176.034558</v>
      </c>
      <c r="HX12" s="337">
        <v>922.94200599999999</v>
      </c>
      <c r="HY12" s="787">
        <f t="shared" si="13"/>
        <v>5.2429592034991215</v>
      </c>
      <c r="HZ12" s="704">
        <v>830.90352499999995</v>
      </c>
      <c r="IA12" s="704">
        <v>2055.524046</v>
      </c>
      <c r="IB12" s="787">
        <f t="shared" si="14"/>
        <v>2.4738420095160869</v>
      </c>
      <c r="IC12" s="703">
        <v>186.44939851297067</v>
      </c>
      <c r="ID12" s="704">
        <v>945.75357064380523</v>
      </c>
      <c r="IE12" s="787">
        <f t="shared" si="15"/>
        <v>5.0724409849893526</v>
      </c>
      <c r="IF12" s="704">
        <v>796.57652187225483</v>
      </c>
      <c r="IG12" s="704">
        <v>2073.511378704608</v>
      </c>
      <c r="IH12" s="776">
        <f t="shared" si="16"/>
        <v>2.603028487245739</v>
      </c>
      <c r="II12" s="1137">
        <v>164.939315533029</v>
      </c>
      <c r="IJ12" s="1138">
        <v>860.33539410900801</v>
      </c>
      <c r="IK12" s="1170">
        <f t="shared" si="17"/>
        <v>5.2160722950055307</v>
      </c>
      <c r="IL12" s="1138">
        <v>826.10761136569101</v>
      </c>
      <c r="IM12" s="1138">
        <v>2251.2739548639101</v>
      </c>
      <c r="IN12" s="1171">
        <f t="shared" si="18"/>
        <v>2.7251582286503644</v>
      </c>
      <c r="IP12" s="169" t="s">
        <v>534</v>
      </c>
      <c r="IQ12" s="703">
        <v>232.817825</v>
      </c>
      <c r="IR12" s="704">
        <v>305.12433600000003</v>
      </c>
      <c r="IS12" s="704">
        <v>168.94652400000001</v>
      </c>
      <c r="IT12" s="704">
        <v>110.46032599999999</v>
      </c>
      <c r="IU12" s="704">
        <v>192.95326</v>
      </c>
      <c r="IV12" s="704">
        <v>2981.8302399999998</v>
      </c>
      <c r="IW12" s="703">
        <v>167.49470263235995</v>
      </c>
      <c r="IX12" s="704">
        <v>307.29869280296992</v>
      </c>
      <c r="IY12" s="704">
        <v>226.14615082200521</v>
      </c>
      <c r="IZ12" s="704">
        <v>137.19512812778851</v>
      </c>
      <c r="JA12" s="704">
        <v>161.90277583623228</v>
      </c>
      <c r="JB12" s="173">
        <v>3074.9563331620129</v>
      </c>
      <c r="JC12" s="1137">
        <v>104.305705002564</v>
      </c>
      <c r="JD12" s="1138">
        <v>298.87278824421401</v>
      </c>
      <c r="JE12" s="1138">
        <v>292.923995492247</v>
      </c>
      <c r="JF12" s="1138">
        <v>148.54079969442799</v>
      </c>
      <c r="JG12" s="1138">
        <v>152.66316220697999</v>
      </c>
      <c r="JH12" s="1139">
        <v>3127.8155026026002</v>
      </c>
      <c r="JJ12" s="169" t="s">
        <v>534</v>
      </c>
      <c r="JK12" s="172">
        <v>250.39652799999999</v>
      </c>
      <c r="JL12" s="337">
        <v>588.51748599999996</v>
      </c>
      <c r="JM12" s="337">
        <v>144.48009400000001</v>
      </c>
      <c r="JN12" s="173">
        <v>26.908162999999998</v>
      </c>
      <c r="JO12" s="703">
        <v>275.58764409231816</v>
      </c>
      <c r="JP12" s="704">
        <v>542.70773696654749</v>
      </c>
      <c r="JQ12" s="704">
        <v>175.20060599733699</v>
      </c>
      <c r="JR12" s="173">
        <v>6.54146316515319</v>
      </c>
      <c r="JS12" s="1137">
        <v>323.66278287108599</v>
      </c>
      <c r="JT12" s="1138">
        <v>446.916953406294</v>
      </c>
      <c r="JU12" s="1138">
        <v>219.22765318430601</v>
      </c>
      <c r="JV12" s="1139">
        <v>7.4990611787464196</v>
      </c>
      <c r="JX12" s="169" t="s">
        <v>534</v>
      </c>
      <c r="JY12" s="703">
        <v>216.40530073750801</v>
      </c>
      <c r="JZ12" s="704">
        <v>257.642962545925</v>
      </c>
      <c r="KA12" s="704">
        <v>159.75418806189001</v>
      </c>
      <c r="KB12" s="173">
        <v>363.50399929511002</v>
      </c>
      <c r="KC12" s="603"/>
      <c r="KD12" s="169" t="s">
        <v>534</v>
      </c>
      <c r="KE12" s="703">
        <v>73.969569273339005</v>
      </c>
      <c r="KF12" s="704">
        <v>36.488832060091099</v>
      </c>
      <c r="KG12" s="704">
        <v>196.95679070687899</v>
      </c>
      <c r="KH12" s="704">
        <v>327.39968163923601</v>
      </c>
      <c r="KI12" s="704">
        <v>149.01794132752499</v>
      </c>
      <c r="KJ12" s="173">
        <v>13.117436946463201</v>
      </c>
      <c r="KK12" s="703">
        <v>86.9995188500626</v>
      </c>
      <c r="KL12" s="704">
        <v>22.137411439368901</v>
      </c>
      <c r="KM12" s="704">
        <v>38.605054290563302</v>
      </c>
      <c r="KN12" s="704">
        <v>6.1274973130991697</v>
      </c>
      <c r="KO12" s="704">
        <v>4.1240768484116197</v>
      </c>
      <c r="KP12" s="173">
        <v>4.1240768484116197</v>
      </c>
      <c r="KQ12" s="703">
        <v>160.969088123402</v>
      </c>
      <c r="KR12" s="704">
        <v>58.626243499460003</v>
      </c>
      <c r="KS12" s="704">
        <v>235.56184499744199</v>
      </c>
      <c r="KT12" s="704">
        <v>333.52717895233502</v>
      </c>
      <c r="KU12" s="704">
        <v>159.40154191764901</v>
      </c>
      <c r="KV12" s="173">
        <v>17.241513794874798</v>
      </c>
      <c r="KW12" s="429"/>
      <c r="KX12" s="169" t="s">
        <v>534</v>
      </c>
      <c r="KY12" s="172">
        <f t="shared" si="19"/>
        <v>411.50534700000003</v>
      </c>
      <c r="KZ12" s="337">
        <v>453.92356599999999</v>
      </c>
      <c r="LA12" s="173">
        <v>144.873358</v>
      </c>
      <c r="LB12" s="172">
        <f t="shared" si="3"/>
        <v>425.02593482334601</v>
      </c>
      <c r="LC12" s="704">
        <v>437.41830909736905</v>
      </c>
      <c r="LD12" s="173">
        <v>137.59320630064082</v>
      </c>
      <c r="LE12" s="172">
        <f t="shared" si="4"/>
        <v>345.678193282238</v>
      </c>
      <c r="LF12" s="1138">
        <v>521.88959403772003</v>
      </c>
      <c r="LG12" s="1139">
        <v>129.73866332047399</v>
      </c>
      <c r="LH12" s="426"/>
      <c r="LI12" s="169" t="s">
        <v>534</v>
      </c>
      <c r="LJ12" s="703">
        <v>745.28241300000002</v>
      </c>
      <c r="LK12" s="704">
        <v>620.71986200000003</v>
      </c>
      <c r="LL12" s="704">
        <v>124.562551</v>
      </c>
      <c r="LM12" s="704">
        <v>333.424575</v>
      </c>
      <c r="LN12" s="704">
        <v>66.052696999999995</v>
      </c>
      <c r="LO12" s="173">
        <v>59.384278999999999</v>
      </c>
      <c r="LP12" s="703">
        <v>787.36925973075529</v>
      </c>
      <c r="LQ12" s="704">
        <v>659.13982893983848</v>
      </c>
      <c r="LR12" s="704">
        <v>128.22943079091681</v>
      </c>
      <c r="LS12" s="704">
        <v>262.53262190486879</v>
      </c>
      <c r="LT12" s="704">
        <v>40.354124604287193</v>
      </c>
      <c r="LU12" s="173">
        <v>72.326629413334615</v>
      </c>
      <c r="LV12" s="1137">
        <v>778.89589405393099</v>
      </c>
      <c r="LW12" s="1138">
        <v>654.403737182192</v>
      </c>
      <c r="LX12" s="1138">
        <v>124.492156871738</v>
      </c>
      <c r="LY12" s="1138">
        <v>177.052561989542</v>
      </c>
      <c r="LZ12" s="1138">
        <v>25.863904595449402</v>
      </c>
      <c r="MA12" s="1139">
        <v>43.0456769937743</v>
      </c>
      <c r="MC12" s="169" t="s">
        <v>534</v>
      </c>
      <c r="MD12" s="703">
        <v>0</v>
      </c>
      <c r="ME12" s="704">
        <v>39.769055999999999</v>
      </c>
      <c r="MF12" s="704">
        <v>199.12810200000001</v>
      </c>
      <c r="MG12" s="704">
        <v>170.53179900000001</v>
      </c>
      <c r="MH12" s="704">
        <v>168.67867799999999</v>
      </c>
      <c r="MI12" s="173">
        <v>42.612226</v>
      </c>
      <c r="MJ12" s="703">
        <v>0</v>
      </c>
      <c r="MK12" s="704">
        <v>37.369653182609298</v>
      </c>
      <c r="ML12" s="704">
        <v>234.86138117341869</v>
      </c>
      <c r="MM12" s="704">
        <v>175.10688453851139</v>
      </c>
      <c r="MN12" s="704">
        <v>147.34020538339848</v>
      </c>
      <c r="MO12" s="173">
        <v>62.461706224926132</v>
      </c>
      <c r="MP12" s="1137">
        <v>0</v>
      </c>
      <c r="MQ12" s="1138">
        <v>18.020332379913999</v>
      </c>
      <c r="MR12" s="1138">
        <v>230.085785677319</v>
      </c>
      <c r="MS12" s="1138">
        <v>190.813043014887</v>
      </c>
      <c r="MT12" s="1138">
        <v>127.502470130988</v>
      </c>
      <c r="MU12" s="1139">
        <v>86.982104963700195</v>
      </c>
      <c r="MW12" s="169" t="s">
        <v>534</v>
      </c>
      <c r="MX12" s="172">
        <v>621.64964499999996</v>
      </c>
      <c r="MY12" s="337">
        <v>541.52534400000002</v>
      </c>
      <c r="MZ12" s="337">
        <v>80.124301000000003</v>
      </c>
      <c r="NA12" s="703">
        <v>675.5525806764955</v>
      </c>
      <c r="NB12" s="704">
        <v>568.79836271987949</v>
      </c>
      <c r="NC12" s="173">
        <v>106.754217956616</v>
      </c>
      <c r="ND12" s="1137">
        <v>679.77530622294501</v>
      </c>
      <c r="NE12" s="1138">
        <v>572.85082014715601</v>
      </c>
      <c r="NF12" s="1139">
        <v>106.92448607578901</v>
      </c>
      <c r="NH12" s="169" t="s">
        <v>534</v>
      </c>
      <c r="NI12" s="703">
        <v>392.91466591403361</v>
      </c>
      <c r="NJ12" s="173">
        <v>175.883696805846</v>
      </c>
      <c r="NK12" s="703">
        <v>42.604136508066368</v>
      </c>
      <c r="NL12" s="704">
        <v>60.820256042198992</v>
      </c>
      <c r="NM12" s="173">
        <v>3.3298254063506398</v>
      </c>
      <c r="NN12" s="1137">
        <v>427.59142634503399</v>
      </c>
      <c r="NO12" s="1139">
        <v>145.25939380212236</v>
      </c>
      <c r="NP12" s="1137">
        <v>47.585030070979002</v>
      </c>
      <c r="NQ12" s="1138">
        <v>52.5738273107617</v>
      </c>
      <c r="NR12" s="1139">
        <v>6.7656286940485897</v>
      </c>
      <c r="NS12" s="136"/>
      <c r="NT12" s="169" t="s">
        <v>534</v>
      </c>
      <c r="NU12" s="703">
        <v>73.770395137910597</v>
      </c>
      <c r="NV12" s="704">
        <v>29.51191326286591</v>
      </c>
      <c r="NW12" s="704">
        <v>3.35785840829084</v>
      </c>
      <c r="NX12" s="173">
        <v>69.243529996778634</v>
      </c>
      <c r="NY12" s="1137">
        <v>78.680598937525701</v>
      </c>
      <c r="NZ12" s="1138">
        <v>19.871846190807901</v>
      </c>
      <c r="OA12" s="1138">
        <v>3.1917246855100698</v>
      </c>
      <c r="OB12" s="1139">
        <v>43.515223988278699</v>
      </c>
      <c r="OC12" s="553"/>
      <c r="OD12" s="169" t="s">
        <v>534</v>
      </c>
      <c r="OE12" s="703">
        <v>26.2090652405181</v>
      </c>
      <c r="OF12" s="704">
        <v>56.792235625088999</v>
      </c>
      <c r="OG12" s="704">
        <v>51.242967911616397</v>
      </c>
      <c r="OH12" s="704">
        <v>50.169968316532099</v>
      </c>
      <c r="OI12" s="704">
        <v>233.06618924677699</v>
      </c>
      <c r="OJ12" s="704">
        <v>45.008525643011303</v>
      </c>
      <c r="OK12" s="173">
        <v>32.659274720706598</v>
      </c>
      <c r="OL12" s="703">
        <v>35.450222163769702</v>
      </c>
      <c r="OM12" s="704">
        <v>60.107778921076097</v>
      </c>
      <c r="ON12" s="704">
        <v>51.242967911616397</v>
      </c>
      <c r="OO12" s="704">
        <v>53.9631602579759</v>
      </c>
      <c r="OP12" s="704">
        <v>310.81704317330201</v>
      </c>
      <c r="OQ12" s="704">
        <v>202.548710241767</v>
      </c>
      <c r="OR12" s="173">
        <v>869.07471784018401</v>
      </c>
      <c r="OT12" s="169" t="s">
        <v>534</v>
      </c>
      <c r="OU12" s="172">
        <v>249.46732299999999</v>
      </c>
      <c r="OV12" s="337">
        <v>136.498265</v>
      </c>
      <c r="OW12" s="337">
        <v>137.48838499999999</v>
      </c>
      <c r="OX12" s="173">
        <v>440.88919899999996</v>
      </c>
      <c r="OY12" s="703">
        <v>244.64080621177223</v>
      </c>
      <c r="OZ12" s="704">
        <v>136.76950630153016</v>
      </c>
      <c r="PA12" s="704">
        <v>124.3809886604532</v>
      </c>
      <c r="PB12" s="173">
        <v>543.46987530736169</v>
      </c>
      <c r="PC12" s="1137">
        <v>162.28929500803798</v>
      </c>
      <c r="PD12" s="1138">
        <v>182.35354204109899</v>
      </c>
      <c r="PE12" s="1138">
        <v>159.50912672200701</v>
      </c>
      <c r="PF12" s="1139">
        <v>571.34770981505801</v>
      </c>
      <c r="PH12" s="169" t="s">
        <v>534</v>
      </c>
      <c r="PI12" s="703">
        <v>72.411059094561949</v>
      </c>
      <c r="PJ12" s="704">
        <v>89.744560242840606</v>
      </c>
      <c r="PK12" s="704">
        <v>53.0283671069203</v>
      </c>
      <c r="PL12" s="173">
        <v>241.87466206112271</v>
      </c>
      <c r="PM12" s="703">
        <v>89.878235913476502</v>
      </c>
      <c r="PN12" s="704">
        <v>92.608981798258</v>
      </c>
      <c r="PO12" s="704">
        <v>106.480759615086</v>
      </c>
      <c r="PP12" s="173">
        <v>329.47304775393468</v>
      </c>
      <c r="PQ12" s="65"/>
      <c r="PR12" s="169" t="s">
        <v>534</v>
      </c>
      <c r="PS12" s="1038">
        <v>24.856631416584602</v>
      </c>
      <c r="PT12" s="1039">
        <v>152.13792377180499</v>
      </c>
      <c r="PU12" s="1039">
        <v>74.210967848874802</v>
      </c>
      <c r="PV12" s="1039">
        <v>1.8811199620747101</v>
      </c>
      <c r="PW12" s="1039">
        <v>305.39656174754799</v>
      </c>
      <c r="PX12" s="1040">
        <v>120.292100460673</v>
      </c>
      <c r="PZ12" s="169" t="s">
        <v>534</v>
      </c>
      <c r="QA12" s="1038">
        <v>441.99482545516702</v>
      </c>
      <c r="QB12" s="1039">
        <v>237.78048076777901</v>
      </c>
      <c r="QC12" s="1039">
        <v>192.73707396600699</v>
      </c>
      <c r="QD12" s="1039">
        <v>25.576443518321099</v>
      </c>
      <c r="QE12" s="1039">
        <v>19.466963283450902</v>
      </c>
      <c r="QF12" s="1040">
        <v>0</v>
      </c>
    </row>
    <row r="13" spans="1:448" ht="13.5" customHeight="1">
      <c r="A13" s="591" t="s">
        <v>478</v>
      </c>
      <c r="B13" s="167" t="s">
        <v>535</v>
      </c>
      <c r="C13" s="1103">
        <v>2744.843347</v>
      </c>
      <c r="D13" s="690">
        <v>2598.073875033735</v>
      </c>
      <c r="E13" s="691">
        <v>2332.0704989524102</v>
      </c>
      <c r="F13" s="428"/>
      <c r="G13" s="169" t="s">
        <v>535</v>
      </c>
      <c r="H13" s="577">
        <f t="shared" si="5"/>
        <v>-1.093055292031242E-2</v>
      </c>
      <c r="I13" s="668">
        <f t="shared" si="6"/>
        <v>-2.1371102183417423E-2</v>
      </c>
      <c r="J13" s="612"/>
      <c r="K13" s="63"/>
      <c r="L13" s="167" t="s">
        <v>535</v>
      </c>
      <c r="M13" s="636">
        <v>21</v>
      </c>
      <c r="N13" s="637">
        <v>29</v>
      </c>
      <c r="O13" s="637">
        <v>24</v>
      </c>
      <c r="P13" s="637">
        <v>19</v>
      </c>
      <c r="Q13" s="637">
        <v>26</v>
      </c>
      <c r="R13" s="637">
        <v>15</v>
      </c>
      <c r="S13" s="637">
        <v>15</v>
      </c>
      <c r="T13" s="637">
        <v>20</v>
      </c>
      <c r="U13" s="1138">
        <v>14</v>
      </c>
      <c r="V13" s="1138">
        <v>29</v>
      </c>
      <c r="W13" s="1139">
        <v>35</v>
      </c>
      <c r="X13" s="169" t="s">
        <v>535</v>
      </c>
      <c r="Y13" s="666">
        <v>25</v>
      </c>
      <c r="Z13" s="667">
        <v>21.5</v>
      </c>
      <c r="AA13" s="667">
        <v>20.5</v>
      </c>
      <c r="AB13" s="667">
        <v>17.5</v>
      </c>
      <c r="AC13" s="667">
        <v>17.5</v>
      </c>
      <c r="AD13" s="668">
        <v>-0.14000000000000001</v>
      </c>
      <c r="AE13" s="668">
        <v>-4.6511627906976744E-2</v>
      </c>
      <c r="AF13" s="668">
        <v>-0.14634146341463414</v>
      </c>
      <c r="AG13" s="1213">
        <v>-4.6511627906976744E-2</v>
      </c>
      <c r="AN13" s="169" t="s">
        <v>535</v>
      </c>
      <c r="AO13" s="636">
        <v>3.9682559999999998</v>
      </c>
      <c r="AP13" s="637">
        <v>75.317082999999997</v>
      </c>
      <c r="AQ13" s="637">
        <v>509.211252</v>
      </c>
      <c r="AR13" s="637">
        <v>309.07604700000002</v>
      </c>
      <c r="AS13" s="637">
        <v>302.75523399999997</v>
      </c>
      <c r="AT13" s="637">
        <v>118.809251</v>
      </c>
      <c r="AU13" s="637">
        <v>393.89490000000001</v>
      </c>
      <c r="AV13" s="173">
        <v>865.46786099999997</v>
      </c>
      <c r="AW13" s="636">
        <v>3.2969749973394702</v>
      </c>
      <c r="AX13" s="637">
        <v>63.240023226064025</v>
      </c>
      <c r="AY13" s="637">
        <v>536.57287950413536</v>
      </c>
      <c r="AZ13" s="637">
        <v>392.44499652744378</v>
      </c>
      <c r="BA13" s="637">
        <v>297.28250849682763</v>
      </c>
      <c r="BB13" s="637">
        <v>86.736902709245129</v>
      </c>
      <c r="BC13" s="637">
        <v>390.5068696025433</v>
      </c>
      <c r="BD13" s="173">
        <v>613.88134623907729</v>
      </c>
      <c r="BE13" s="1137">
        <v>0</v>
      </c>
      <c r="BF13" s="1138">
        <v>99.814622458504999</v>
      </c>
      <c r="BG13" s="1138">
        <v>400.729455717787</v>
      </c>
      <c r="BH13" s="1138">
        <v>362.15031345346199</v>
      </c>
      <c r="BI13" s="1138">
        <v>234.74809418650699</v>
      </c>
      <c r="BJ13" s="1138">
        <v>86.053009276313603</v>
      </c>
      <c r="BK13" s="1138">
        <v>317.65533301526699</v>
      </c>
      <c r="BL13" s="1139">
        <v>655.71333934173902</v>
      </c>
      <c r="BN13" s="169" t="s">
        <v>535</v>
      </c>
      <c r="BO13" s="647">
        <v>166.34346400000001</v>
      </c>
      <c r="BP13" s="648">
        <v>1412.3480079999999</v>
      </c>
      <c r="BQ13" s="648">
        <v>420.321845</v>
      </c>
      <c r="BR13" s="648">
        <v>298.213459</v>
      </c>
      <c r="BS13" s="648">
        <v>227.057267</v>
      </c>
      <c r="BT13" s="173">
        <v>220.55930499999999</v>
      </c>
      <c r="BU13" s="647">
        <v>214.11137373105907</v>
      </c>
      <c r="BV13" s="648">
        <v>1216.6214617613541</v>
      </c>
      <c r="BW13" s="648">
        <v>428.10010531190358</v>
      </c>
      <c r="BX13" s="648">
        <v>259.27135838513959</v>
      </c>
      <c r="BY13" s="648">
        <v>272.23173947622251</v>
      </c>
      <c r="BZ13" s="173">
        <v>207.73783636805626</v>
      </c>
      <c r="CA13" s="1137">
        <v>173.20632947205499</v>
      </c>
      <c r="CB13" s="1138">
        <v>1088.9723549616101</v>
      </c>
      <c r="CC13" s="1138">
        <v>366.35345429067502</v>
      </c>
      <c r="CD13" s="1138">
        <v>264.01804213718702</v>
      </c>
      <c r="CE13" s="1138">
        <v>242.312361090037</v>
      </c>
      <c r="CF13" s="1139">
        <v>197.20795700083701</v>
      </c>
      <c r="CG13" s="429"/>
      <c r="CH13" s="169" t="s">
        <v>535</v>
      </c>
      <c r="CI13" s="172">
        <v>492.20359999999999</v>
      </c>
      <c r="CJ13" s="337">
        <v>1886.0890879999999</v>
      </c>
      <c r="CK13" s="337">
        <v>366.550659</v>
      </c>
      <c r="CL13" s="647">
        <v>516.43528366167709</v>
      </c>
      <c r="CM13" s="648">
        <v>1685.8588189066736</v>
      </c>
      <c r="CN13" s="648">
        <v>395.77977246538455</v>
      </c>
      <c r="CO13" s="1137">
        <v>544.36013563683503</v>
      </c>
      <c r="CP13" s="1138">
        <v>1422.97365123436</v>
      </c>
      <c r="CQ13" s="1139">
        <v>364.73671208120999</v>
      </c>
      <c r="CR13" s="429"/>
      <c r="CS13" s="232" t="s">
        <v>646</v>
      </c>
      <c r="CT13" s="130">
        <v>-146.61760799999999</v>
      </c>
      <c r="CU13" s="130">
        <v>220.16553300000001</v>
      </c>
      <c r="CV13" s="130">
        <v>-618.02322199999992</v>
      </c>
      <c r="CW13" s="130">
        <v>1046.0983639999999</v>
      </c>
      <c r="CX13" s="130">
        <v>-106.27480707792024</v>
      </c>
      <c r="CY13" s="130">
        <v>191.13078598793021</v>
      </c>
      <c r="CZ13" s="130">
        <v>-647.99254821606689</v>
      </c>
      <c r="DA13" s="130">
        <v>1043.119227953357</v>
      </c>
      <c r="DB13" s="130">
        <v>-100.926226346085</v>
      </c>
      <c r="DC13" s="130">
        <v>187.24176509449799</v>
      </c>
      <c r="DD13" s="130">
        <v>-740.46882416191033</v>
      </c>
      <c r="DE13" s="234">
        <v>1128.623347402799</v>
      </c>
      <c r="DG13" s="169" t="s">
        <v>535</v>
      </c>
      <c r="DH13" s="1147" t="s">
        <v>729</v>
      </c>
      <c r="DI13" s="1150" t="s">
        <v>796</v>
      </c>
      <c r="DJ13" s="704" t="s">
        <v>797</v>
      </c>
      <c r="DK13" s="704" t="s">
        <v>798</v>
      </c>
      <c r="DL13" s="337" t="s">
        <v>799</v>
      </c>
      <c r="DM13" s="174" t="s">
        <v>781</v>
      </c>
      <c r="DN13" s="451"/>
      <c r="DO13" s="167" t="s">
        <v>535</v>
      </c>
      <c r="DP13" s="704">
        <v>1872.355184</v>
      </c>
      <c r="DQ13" s="337">
        <v>1715.8087850979366</v>
      </c>
      <c r="DR13" s="1139">
        <v>1616.4092773765201</v>
      </c>
      <c r="DS13" s="63"/>
      <c r="DT13" s="169" t="s">
        <v>535</v>
      </c>
      <c r="DU13" s="172">
        <v>2668.8434400000001</v>
      </c>
      <c r="DV13" s="337">
        <v>2520.0739359917279</v>
      </c>
      <c r="DW13" s="1139">
        <v>2265.0704309216098</v>
      </c>
      <c r="DX13" s="63"/>
      <c r="DY13" s="169" t="s">
        <v>535</v>
      </c>
      <c r="DZ13" s="1089">
        <f t="shared" si="0"/>
        <v>1.4253937836187816</v>
      </c>
      <c r="EA13" s="787">
        <f t="shared" si="1"/>
        <v>1.4687382171480634</v>
      </c>
      <c r="EB13" s="776">
        <f t="shared" si="2"/>
        <v>1.4012975937615788</v>
      </c>
      <c r="EC13" s="55"/>
      <c r="ED13" s="541"/>
      <c r="EE13" s="169" t="s">
        <v>535</v>
      </c>
      <c r="EF13" s="735">
        <v>1296.4583359999999</v>
      </c>
      <c r="EG13" s="736">
        <v>127.014157</v>
      </c>
      <c r="EH13" s="736">
        <v>283.38898499999999</v>
      </c>
      <c r="EI13" s="736">
        <v>101.089445</v>
      </c>
      <c r="EJ13" s="736">
        <v>64.404261000000005</v>
      </c>
      <c r="EK13" s="703">
        <v>1177.0061047205745</v>
      </c>
      <c r="EL13" s="704">
        <v>77.095375839559068</v>
      </c>
      <c r="EM13" s="704">
        <v>298.81097489352203</v>
      </c>
      <c r="EN13" s="704">
        <v>123.33403065118718</v>
      </c>
      <c r="EO13" s="704">
        <v>39.562298993093791</v>
      </c>
      <c r="EP13" s="1137">
        <v>1157.96811006759</v>
      </c>
      <c r="EQ13" s="1138">
        <v>73.082743660930007</v>
      </c>
      <c r="ER13" s="1138">
        <v>246.76573840139201</v>
      </c>
      <c r="ES13" s="1138">
        <v>65.225726918238394</v>
      </c>
      <c r="ET13" s="1139">
        <v>73.366958328369407</v>
      </c>
      <c r="EU13" s="430"/>
      <c r="EV13" s="169" t="s">
        <v>535</v>
      </c>
      <c r="EW13" s="703">
        <v>642.84777399999996</v>
      </c>
      <c r="EX13" s="704">
        <v>430.12203199999999</v>
      </c>
      <c r="EY13" s="704">
        <v>153.45821100000001</v>
      </c>
      <c r="EZ13" s="704">
        <v>72.030316999999997</v>
      </c>
      <c r="FA13" s="703">
        <v>1015.7401630000001</v>
      </c>
      <c r="FB13" s="704">
        <v>942.76283799999999</v>
      </c>
      <c r="FC13" s="704">
        <v>391.96729299999998</v>
      </c>
      <c r="FD13" s="704">
        <v>141.029696</v>
      </c>
      <c r="FE13" s="703">
        <v>546.25633622856549</v>
      </c>
      <c r="FF13" s="704">
        <v>380.0182938357861</v>
      </c>
      <c r="FG13" s="704">
        <v>161.3764071161628</v>
      </c>
      <c r="FH13" s="173">
        <v>90.355066758547522</v>
      </c>
      <c r="FI13" s="703">
        <v>796.30982498137598</v>
      </c>
      <c r="FJ13" s="704">
        <v>960.73116003032362</v>
      </c>
      <c r="FK13" s="746">
        <v>393.46066437203388</v>
      </c>
      <c r="FL13" s="747">
        <v>154.46091365844836</v>
      </c>
      <c r="FM13" s="1137">
        <v>524.22610441542099</v>
      </c>
      <c r="FN13" s="1138">
        <v>372.11152252934301</v>
      </c>
      <c r="FO13" s="1138">
        <v>180.005190129629</v>
      </c>
      <c r="FP13" s="1139">
        <v>79.625290962426604</v>
      </c>
      <c r="FQ13" s="1137">
        <v>739.67654216742301</v>
      </c>
      <c r="FR13" s="1138">
        <v>851.07651180777702</v>
      </c>
      <c r="FS13" s="1138">
        <v>390.93988678851701</v>
      </c>
      <c r="FT13" s="1139">
        <v>116.17116677814801</v>
      </c>
      <c r="FV13" s="167" t="s">
        <v>535</v>
      </c>
      <c r="FW13" s="337">
        <v>294.514861</v>
      </c>
      <c r="FX13" s="337">
        <v>74.832080000000005</v>
      </c>
      <c r="FY13" s="337">
        <v>75.951071999999996</v>
      </c>
      <c r="FZ13" s="173">
        <v>3.5846779999999998</v>
      </c>
      <c r="GA13" s="703">
        <v>302.14098656182063</v>
      </c>
      <c r="GB13" s="704">
        <v>82.52668461939389</v>
      </c>
      <c r="GC13" s="704">
        <v>57.719238732762143</v>
      </c>
      <c r="GD13" s="173">
        <v>22.617369621165839</v>
      </c>
      <c r="GE13" s="1137">
        <v>252.52399548145499</v>
      </c>
      <c r="GF13" s="1138">
        <v>61.314416488044003</v>
      </c>
      <c r="GG13" s="1138">
        <v>59.030312601751199</v>
      </c>
      <c r="GH13" s="1139">
        <v>15.70414560460283</v>
      </c>
      <c r="GJ13" s="169" t="s">
        <v>535</v>
      </c>
      <c r="GK13" s="703">
        <v>2140.997719</v>
      </c>
      <c r="GL13" s="704">
        <v>2172.9986590725425</v>
      </c>
      <c r="GM13" s="1139">
        <v>2242.00164229148</v>
      </c>
      <c r="GO13" s="169" t="s">
        <v>535</v>
      </c>
      <c r="GP13" s="703">
        <v>1869.355188</v>
      </c>
      <c r="GQ13" s="704">
        <v>83.020437000000001</v>
      </c>
      <c r="GR13" s="173">
        <v>188.622094</v>
      </c>
      <c r="GS13" s="703">
        <v>1715.8087850979366</v>
      </c>
      <c r="GT13" s="704">
        <v>92.588505197394383</v>
      </c>
      <c r="GU13" s="173">
        <v>364.60136877721146</v>
      </c>
      <c r="GV13" s="1137">
        <v>1617.4092783919</v>
      </c>
      <c r="GW13" s="1138">
        <v>139.974270988808</v>
      </c>
      <c r="GX13" s="1139">
        <v>484.61809291076997</v>
      </c>
      <c r="GZ13" s="169" t="s">
        <v>535</v>
      </c>
      <c r="HA13" s="172">
        <v>136.792012</v>
      </c>
      <c r="HB13" s="337">
        <v>1994.108984</v>
      </c>
      <c r="HC13" s="173">
        <f t="shared" si="7"/>
        <v>10.096723000000111</v>
      </c>
      <c r="HD13" s="703">
        <v>80.866961356690993</v>
      </c>
      <c r="HE13" s="704">
        <v>2075.8338718394161</v>
      </c>
      <c r="HF13" s="173">
        <f t="shared" si="8"/>
        <v>16.297825876435581</v>
      </c>
      <c r="HG13" s="583">
        <v>101.998454268755</v>
      </c>
      <c r="HH13" s="1138">
        <v>2105.78871001794</v>
      </c>
      <c r="HI13" s="173">
        <f t="shared" si="9"/>
        <v>34.214478004785178</v>
      </c>
      <c r="HK13" s="169" t="s">
        <v>535</v>
      </c>
      <c r="HL13" s="704">
        <v>1869.355188</v>
      </c>
      <c r="HM13" s="704">
        <v>4814.904082</v>
      </c>
      <c r="HN13" s="776">
        <f t="shared" si="10"/>
        <v>2.5757031691507519</v>
      </c>
      <c r="HO13" s="703">
        <v>1715.8087850979366</v>
      </c>
      <c r="HP13" s="704">
        <v>4372.8463110672219</v>
      </c>
      <c r="HQ13" s="776">
        <f t="shared" si="11"/>
        <v>2.5485627239154298</v>
      </c>
      <c r="HR13" s="1138">
        <v>1617.4092783919</v>
      </c>
      <c r="HS13" s="1138">
        <v>4277.122964139</v>
      </c>
      <c r="HT13" s="784">
        <f t="shared" si="12"/>
        <v>2.6444283591544036</v>
      </c>
      <c r="HV13" s="169" t="s">
        <v>535</v>
      </c>
      <c r="HW13" s="172">
        <v>122.60644499999999</v>
      </c>
      <c r="HX13" s="337">
        <v>776.42944999999997</v>
      </c>
      <c r="HY13" s="787">
        <f t="shared" si="13"/>
        <v>6.3326968659763363</v>
      </c>
      <c r="HZ13" s="704">
        <v>1736.65202</v>
      </c>
      <c r="IA13" s="704">
        <v>4019.3779199999999</v>
      </c>
      <c r="IB13" s="787">
        <f t="shared" si="14"/>
        <v>2.3144405866639879</v>
      </c>
      <c r="IC13" s="703">
        <v>57.941227168007963</v>
      </c>
      <c r="ID13" s="704">
        <v>414.96521054164936</v>
      </c>
      <c r="IE13" s="787">
        <f t="shared" si="15"/>
        <v>7.1618298545594303</v>
      </c>
      <c r="IF13" s="704">
        <v>1641.5697320534928</v>
      </c>
      <c r="IG13" s="704">
        <v>3923.3196130708898</v>
      </c>
      <c r="IH13" s="776">
        <f t="shared" si="16"/>
        <v>2.3899804781141292</v>
      </c>
      <c r="II13" s="1137">
        <v>60.219241896024798</v>
      </c>
      <c r="IJ13" s="1138">
        <v>495.01113015115999</v>
      </c>
      <c r="IK13" s="1170">
        <f t="shared" si="17"/>
        <v>8.2201488189746996</v>
      </c>
      <c r="IL13" s="1138">
        <v>1522.9755584910899</v>
      </c>
      <c r="IM13" s="1138">
        <v>3744.8973529369</v>
      </c>
      <c r="IN13" s="1171">
        <f t="shared" si="18"/>
        <v>2.4589346375638566</v>
      </c>
      <c r="IP13" s="169" t="s">
        <v>535</v>
      </c>
      <c r="IQ13" s="703">
        <v>566.96664399999997</v>
      </c>
      <c r="IR13" s="704">
        <v>515.26017899999999</v>
      </c>
      <c r="IS13" s="704">
        <v>426.326886</v>
      </c>
      <c r="IT13" s="704">
        <v>162.09740500000001</v>
      </c>
      <c r="IU13" s="704">
        <v>198.70407499999999</v>
      </c>
      <c r="IV13" s="704">
        <v>4814.904082</v>
      </c>
      <c r="IW13" s="703">
        <v>509.77873462766951</v>
      </c>
      <c r="IX13" s="704">
        <v>522.7794637533508</v>
      </c>
      <c r="IY13" s="704">
        <v>301.43300167459887</v>
      </c>
      <c r="IZ13" s="704">
        <v>204.81097348385799</v>
      </c>
      <c r="JA13" s="704">
        <v>177.0066115584595</v>
      </c>
      <c r="JB13" s="173">
        <v>4372.8463110672219</v>
      </c>
      <c r="JC13" s="1137">
        <v>458.86240514148699</v>
      </c>
      <c r="JD13" s="1138">
        <v>457.89774394275901</v>
      </c>
      <c r="JE13" s="1138">
        <v>330.49403673271701</v>
      </c>
      <c r="JF13" s="1138">
        <v>207.42587081846901</v>
      </c>
      <c r="JG13" s="1138">
        <v>162.72922175647301</v>
      </c>
      <c r="JH13" s="1139">
        <v>4277.122964139</v>
      </c>
      <c r="JJ13" s="169" t="s">
        <v>535</v>
      </c>
      <c r="JK13" s="172">
        <v>499.04647699999998</v>
      </c>
      <c r="JL13" s="337">
        <v>1301.020998</v>
      </c>
      <c r="JM13" s="337">
        <v>14.181029000000001</v>
      </c>
      <c r="JN13" s="173">
        <v>55.106684000000001</v>
      </c>
      <c r="JO13" s="703">
        <v>472.95508612241781</v>
      </c>
      <c r="JP13" s="704">
        <v>1180.7177365469709</v>
      </c>
      <c r="JQ13" s="704">
        <v>6.2457285500556727</v>
      </c>
      <c r="JR13" s="173">
        <v>55.890233878492303</v>
      </c>
      <c r="JS13" s="1137">
        <v>409.82868394701302</v>
      </c>
      <c r="JT13" s="1138">
        <v>1154.0556107135071</v>
      </c>
      <c r="JU13" s="1138">
        <v>11.112339715502999</v>
      </c>
      <c r="JV13" s="1139">
        <v>42.412644015884702</v>
      </c>
      <c r="JW13" s="432"/>
      <c r="JX13" s="169" t="s">
        <v>535</v>
      </c>
      <c r="JY13" s="703">
        <v>536.24109255485303</v>
      </c>
      <c r="JZ13" s="704">
        <v>557.735952932906</v>
      </c>
      <c r="KA13" s="704">
        <v>195.815293739216</v>
      </c>
      <c r="KB13" s="173">
        <v>327.61693916492902</v>
      </c>
      <c r="KC13" s="603"/>
      <c r="KD13" s="169" t="s">
        <v>535</v>
      </c>
      <c r="KE13" s="703">
        <v>171.612150340639</v>
      </c>
      <c r="KF13" s="704">
        <v>85.200972380950901</v>
      </c>
      <c r="KG13" s="704">
        <v>547.21349462568003</v>
      </c>
      <c r="KH13" s="704">
        <v>475.20611917808702</v>
      </c>
      <c r="KI13" s="704">
        <v>188.16720105664101</v>
      </c>
      <c r="KJ13" s="173">
        <v>52.361174381242101</v>
      </c>
      <c r="KK13" s="703">
        <v>40.134198572607403</v>
      </c>
      <c r="KL13" s="704">
        <v>5.75825708006208</v>
      </c>
      <c r="KM13" s="704">
        <v>6.3008923459708397</v>
      </c>
      <c r="KN13" s="704">
        <v>7.1140132505711797</v>
      </c>
      <c r="KO13" s="704">
        <v>0</v>
      </c>
      <c r="KP13" s="173">
        <v>0.91188064681332903</v>
      </c>
      <c r="KQ13" s="703">
        <v>220.74635805171101</v>
      </c>
      <c r="KR13" s="704">
        <v>90.959229461012995</v>
      </c>
      <c r="KS13" s="704">
        <v>553.51438697165099</v>
      </c>
      <c r="KT13" s="704">
        <v>482.32013242865798</v>
      </c>
      <c r="KU13" s="704">
        <v>191.38164758449301</v>
      </c>
      <c r="KV13" s="173">
        <v>75.273077366525797</v>
      </c>
      <c r="KW13" s="429"/>
      <c r="KX13" s="169" t="s">
        <v>535</v>
      </c>
      <c r="KY13" s="172">
        <f t="shared" si="19"/>
        <v>827.68681100000003</v>
      </c>
      <c r="KZ13" s="337">
        <v>887.51049</v>
      </c>
      <c r="LA13" s="173">
        <v>157.157883</v>
      </c>
      <c r="LB13" s="172">
        <f t="shared" si="3"/>
        <v>751.62505930077452</v>
      </c>
      <c r="LC13" s="704">
        <v>821.57729179565456</v>
      </c>
      <c r="LD13" s="173">
        <v>142.60643400150749</v>
      </c>
      <c r="LE13" s="172">
        <f t="shared" si="4"/>
        <v>741.34574076370302</v>
      </c>
      <c r="LF13" s="1138">
        <v>774.70848669151303</v>
      </c>
      <c r="LG13" s="1139">
        <v>100.355049921304</v>
      </c>
      <c r="LH13" s="128"/>
      <c r="LI13" s="169" t="s">
        <v>535</v>
      </c>
      <c r="LJ13" s="703">
        <v>1332.012162</v>
      </c>
      <c r="LK13" s="704">
        <v>1124.0172990000001</v>
      </c>
      <c r="LL13" s="704">
        <v>207.99486200000001</v>
      </c>
      <c r="LM13" s="704">
        <v>737.02626899999996</v>
      </c>
      <c r="LN13" s="704">
        <v>56.349336999999998</v>
      </c>
      <c r="LO13" s="173">
        <v>86.561457000000004</v>
      </c>
      <c r="LP13" s="703">
        <v>1372.9750280126082</v>
      </c>
      <c r="LQ13" s="704">
        <v>1180.9684873127869</v>
      </c>
      <c r="LR13" s="704">
        <v>192.00654069982119</v>
      </c>
      <c r="LS13" s="704">
        <v>483.44652433882038</v>
      </c>
      <c r="LT13" s="704">
        <v>50.311138324082506</v>
      </c>
      <c r="LU13" s="173">
        <v>81.450038161780483</v>
      </c>
      <c r="LV13" s="1137">
        <v>1174.73209835854</v>
      </c>
      <c r="LW13" s="1138">
        <v>994.20641649017102</v>
      </c>
      <c r="LX13" s="1138">
        <v>180.52568186836899</v>
      </c>
      <c r="LY13" s="1138">
        <v>510.947128632405</v>
      </c>
      <c r="LZ13" s="1138">
        <v>30.673997440852599</v>
      </c>
      <c r="MA13" s="1139">
        <v>77.774232967342996</v>
      </c>
      <c r="MC13" s="169" t="s">
        <v>535</v>
      </c>
      <c r="MD13" s="703">
        <v>3.9682559999999998</v>
      </c>
      <c r="ME13" s="704">
        <v>56.932749000000001</v>
      </c>
      <c r="MF13" s="704">
        <v>491.72599600000001</v>
      </c>
      <c r="MG13" s="704">
        <v>254.876597</v>
      </c>
      <c r="MH13" s="704">
        <v>244.55157199999999</v>
      </c>
      <c r="MI13" s="173">
        <v>77.962120999999996</v>
      </c>
      <c r="MJ13" s="703">
        <v>3.2969749973394702</v>
      </c>
      <c r="MK13" s="704">
        <v>49.924978653793993</v>
      </c>
      <c r="ML13" s="704">
        <v>502.12647840633099</v>
      </c>
      <c r="MM13" s="704">
        <v>325.82214653380231</v>
      </c>
      <c r="MN13" s="704">
        <v>237.03279077169108</v>
      </c>
      <c r="MO13" s="173">
        <v>64.765116386803612</v>
      </c>
      <c r="MP13" s="1137">
        <v>0</v>
      </c>
      <c r="MQ13" s="1138">
        <v>77.680277599834298</v>
      </c>
      <c r="MR13" s="1138">
        <v>368.37796579756503</v>
      </c>
      <c r="MS13" s="1138">
        <v>317.74760161852203</v>
      </c>
      <c r="MT13" s="1138">
        <v>176.59027151991501</v>
      </c>
      <c r="MU13" s="1139">
        <v>53.810299954334397</v>
      </c>
      <c r="MW13" s="169" t="s">
        <v>535</v>
      </c>
      <c r="MX13" s="172">
        <v>1133.0505439999999</v>
      </c>
      <c r="MY13" s="337">
        <v>928.90999399999998</v>
      </c>
      <c r="MZ13" s="337">
        <v>204.14054999999999</v>
      </c>
      <c r="NA13" s="703">
        <v>1213.4389605450897</v>
      </c>
      <c r="NB13" s="704">
        <v>1026.1218217543017</v>
      </c>
      <c r="NC13" s="173">
        <v>187.31713879078771</v>
      </c>
      <c r="ND13" s="1137">
        <v>1018.70689052543</v>
      </c>
      <c r="NE13" s="1138">
        <v>781.15813522170299</v>
      </c>
      <c r="NF13" s="1139">
        <v>237.54875530372499</v>
      </c>
      <c r="NH13" s="169" t="s">
        <v>535</v>
      </c>
      <c r="NI13" s="703">
        <v>729.7444051185488</v>
      </c>
      <c r="NJ13" s="173">
        <v>296.37741663575298</v>
      </c>
      <c r="NK13" s="703">
        <v>93.054995291799202</v>
      </c>
      <c r="NL13" s="704">
        <v>94.262143498988536</v>
      </c>
      <c r="NM13" s="173">
        <v>0</v>
      </c>
      <c r="NN13" s="1137">
        <v>586.77197415643195</v>
      </c>
      <c r="NO13" s="1139">
        <v>194.3861610652705</v>
      </c>
      <c r="NP13" s="1137">
        <v>153.49911037234099</v>
      </c>
      <c r="NQ13" s="1138">
        <v>84.049644931384194</v>
      </c>
      <c r="NR13" s="1139">
        <v>0</v>
      </c>
      <c r="NS13" s="136"/>
      <c r="NT13" s="169" t="s">
        <v>535</v>
      </c>
      <c r="NU13" s="703">
        <v>164.54133216843377</v>
      </c>
      <c r="NV13" s="704">
        <v>17.537814402844951</v>
      </c>
      <c r="NW13" s="704">
        <v>14.24983148760114</v>
      </c>
      <c r="NX13" s="173">
        <v>100.04843857687311</v>
      </c>
      <c r="NY13" s="1137">
        <v>133.81444821476899</v>
      </c>
      <c r="NZ13" s="1138">
        <v>0</v>
      </c>
      <c r="OA13" s="1138">
        <v>1.0000010153850201</v>
      </c>
      <c r="OB13" s="1139">
        <v>59.571711835116503</v>
      </c>
      <c r="OC13" s="553"/>
      <c r="OD13" s="169" t="s">
        <v>535</v>
      </c>
      <c r="OE13" s="703">
        <v>41.250232765619302</v>
      </c>
      <c r="OF13" s="704">
        <v>48.319886864450403</v>
      </c>
      <c r="OG13" s="704">
        <v>40.704955980790203</v>
      </c>
      <c r="OH13" s="704">
        <v>46.310827482603599</v>
      </c>
      <c r="OI13" s="704">
        <v>615.99153705229503</v>
      </c>
      <c r="OJ13" s="704">
        <v>43.626869368435599</v>
      </c>
      <c r="OK13" s="173">
        <v>36.888066000176003</v>
      </c>
      <c r="OL13" s="703">
        <v>59.968716192084003</v>
      </c>
      <c r="OM13" s="704">
        <v>48.319886864450403</v>
      </c>
      <c r="ON13" s="704">
        <v>40.704955980790203</v>
      </c>
      <c r="OO13" s="704">
        <v>48.310829513373697</v>
      </c>
      <c r="OP13" s="704">
        <v>740.36576240791499</v>
      </c>
      <c r="OQ13" s="704">
        <v>300.29576304032599</v>
      </c>
      <c r="OR13" s="173">
        <v>1069.8918145187399</v>
      </c>
      <c r="OT13" s="169" t="s">
        <v>535</v>
      </c>
      <c r="OU13" s="172">
        <v>213.71928499999999</v>
      </c>
      <c r="OV13" s="337">
        <v>219.68844799999999</v>
      </c>
      <c r="OW13" s="337">
        <v>235.60517300000001</v>
      </c>
      <c r="OX13" s="173">
        <v>865.28610100000003</v>
      </c>
      <c r="OY13" s="703">
        <v>208.88773714212147</v>
      </c>
      <c r="OZ13" s="704">
        <v>155.37632122136986</v>
      </c>
      <c r="PA13" s="704">
        <v>283.59427904091842</v>
      </c>
      <c r="PB13" s="173">
        <v>947.99223137537103</v>
      </c>
      <c r="PC13" s="1137">
        <v>161.19301420895459</v>
      </c>
      <c r="PD13" s="1138">
        <v>100.836529935469</v>
      </c>
      <c r="PE13" s="1138">
        <v>225.56930005881401</v>
      </c>
      <c r="PF13" s="1139">
        <v>928.44802537360306</v>
      </c>
      <c r="PH13" s="169" t="s">
        <v>535</v>
      </c>
      <c r="PI13" s="703">
        <v>78.121894828182405</v>
      </c>
      <c r="PJ13" s="704">
        <v>60.729351089193898</v>
      </c>
      <c r="PK13" s="704">
        <v>71.520616994249494</v>
      </c>
      <c r="PL13" s="173">
        <v>452.11804509262367</v>
      </c>
      <c r="PM13" s="703">
        <v>83.071119380772402</v>
      </c>
      <c r="PN13" s="704">
        <v>40.107178846275097</v>
      </c>
      <c r="PO13" s="704">
        <v>154.04868306456399</v>
      </c>
      <c r="PP13" s="173">
        <v>476.32998028097921</v>
      </c>
      <c r="PQ13" s="65"/>
      <c r="PR13" s="169" t="s">
        <v>535</v>
      </c>
      <c r="PS13" s="1038">
        <v>28.812993750956199</v>
      </c>
      <c r="PT13" s="1039">
        <v>315.84090961416899</v>
      </c>
      <c r="PU13" s="1039">
        <v>60.014209031950003</v>
      </c>
      <c r="PV13" s="1039">
        <v>13.513665338755001</v>
      </c>
      <c r="PW13" s="1039">
        <v>345.19765441186598</v>
      </c>
      <c r="PX13" s="1040">
        <v>255.327458377732</v>
      </c>
      <c r="PZ13" s="169" t="s">
        <v>535</v>
      </c>
      <c r="QA13" s="1038">
        <v>716.60802173584796</v>
      </c>
      <c r="QB13" s="1039">
        <v>302.09886878958002</v>
      </c>
      <c r="QC13" s="1039">
        <v>187.73528863948999</v>
      </c>
      <c r="QD13" s="1039">
        <v>55.950951563997201</v>
      </c>
      <c r="QE13" s="1039">
        <v>58.412628586091998</v>
      </c>
      <c r="QF13" s="1040">
        <v>0</v>
      </c>
    </row>
    <row r="14" spans="1:448" ht="13.5" customHeight="1">
      <c r="A14" s="591" t="s">
        <v>479</v>
      </c>
      <c r="B14" s="167" t="s">
        <v>536</v>
      </c>
      <c r="C14" s="1103">
        <v>3287.8500789999998</v>
      </c>
      <c r="D14" s="690">
        <v>3190.161264470124</v>
      </c>
      <c r="E14" s="691">
        <v>2932.67317144964</v>
      </c>
      <c r="F14" s="428"/>
      <c r="G14" s="169" t="s">
        <v>536</v>
      </c>
      <c r="H14" s="577">
        <f t="shared" si="5"/>
        <v>-6.0143233316278799E-3</v>
      </c>
      <c r="I14" s="668">
        <f t="shared" si="6"/>
        <v>-1.6690566246244209E-2</v>
      </c>
      <c r="J14" s="612"/>
      <c r="K14" s="63"/>
      <c r="L14" s="167" t="s">
        <v>536</v>
      </c>
      <c r="M14" s="636">
        <v>27</v>
      </c>
      <c r="N14" s="637">
        <v>24</v>
      </c>
      <c r="O14" s="637">
        <v>25</v>
      </c>
      <c r="P14" s="637">
        <v>18</v>
      </c>
      <c r="Q14" s="637">
        <v>21</v>
      </c>
      <c r="R14" s="637">
        <v>25</v>
      </c>
      <c r="S14" s="637">
        <v>19</v>
      </c>
      <c r="T14" s="637">
        <v>30</v>
      </c>
      <c r="U14" s="1138">
        <v>26</v>
      </c>
      <c r="V14" s="1138">
        <v>18</v>
      </c>
      <c r="W14" s="1139">
        <v>19</v>
      </c>
      <c r="X14" s="169" t="s">
        <v>536</v>
      </c>
      <c r="Y14" s="666">
        <v>25.5</v>
      </c>
      <c r="Z14" s="667">
        <v>21.5</v>
      </c>
      <c r="AA14" s="667">
        <v>23</v>
      </c>
      <c r="AB14" s="667">
        <v>24.5</v>
      </c>
      <c r="AC14" s="667">
        <v>24.5</v>
      </c>
      <c r="AD14" s="668">
        <v>-0.15686274509803921</v>
      </c>
      <c r="AE14" s="668">
        <v>6.9767441860465115E-2</v>
      </c>
      <c r="AF14" s="668">
        <v>6.5217391304347824E-2</v>
      </c>
      <c r="AG14" s="1213">
        <v>6.9767441860465115E-2</v>
      </c>
      <c r="AN14" s="169" t="s">
        <v>536</v>
      </c>
      <c r="AO14" s="636">
        <v>0</v>
      </c>
      <c r="AP14" s="637">
        <v>99.657743999999994</v>
      </c>
      <c r="AQ14" s="637">
        <v>652.76847399999997</v>
      </c>
      <c r="AR14" s="637">
        <v>397.647852</v>
      </c>
      <c r="AS14" s="637">
        <v>262.58757900000001</v>
      </c>
      <c r="AT14" s="637">
        <v>110.951234</v>
      </c>
      <c r="AU14" s="637">
        <v>559.824656</v>
      </c>
      <c r="AV14" s="173">
        <v>702.408725</v>
      </c>
      <c r="AW14" s="636">
        <v>0</v>
      </c>
      <c r="AX14" s="637">
        <v>110.56244928686644</v>
      </c>
      <c r="AY14" s="637">
        <v>660.37729251258838</v>
      </c>
      <c r="AZ14" s="637">
        <v>437.49833436533447</v>
      </c>
      <c r="BA14" s="637">
        <v>211.25935342153272</v>
      </c>
      <c r="BB14" s="637">
        <v>68.401644938505513</v>
      </c>
      <c r="BC14" s="637">
        <v>606.19130757366122</v>
      </c>
      <c r="BD14" s="173">
        <v>513.75237559889604</v>
      </c>
      <c r="BE14" s="1137">
        <v>0</v>
      </c>
      <c r="BF14" s="1138">
        <v>92.545564623969895</v>
      </c>
      <c r="BG14" s="1138">
        <v>632.43618890161804</v>
      </c>
      <c r="BH14" s="1138">
        <v>394.20025094660298</v>
      </c>
      <c r="BI14" s="1138">
        <v>196.839630544518</v>
      </c>
      <c r="BJ14" s="1138">
        <v>68.347635723490995</v>
      </c>
      <c r="BK14" s="1138">
        <v>534.46114274825095</v>
      </c>
      <c r="BL14" s="1139">
        <v>654.87512177278495</v>
      </c>
      <c r="BN14" s="169" t="s">
        <v>536</v>
      </c>
      <c r="BO14" s="647">
        <v>503.00381399999998</v>
      </c>
      <c r="BP14" s="648">
        <v>1032.790786</v>
      </c>
      <c r="BQ14" s="648">
        <v>539.648053</v>
      </c>
      <c r="BR14" s="648">
        <v>600.88395800000001</v>
      </c>
      <c r="BS14" s="648">
        <v>321.56922500000002</v>
      </c>
      <c r="BT14" s="173">
        <v>289.95424200000002</v>
      </c>
      <c r="BU14" s="647">
        <v>581.11850755425155</v>
      </c>
      <c r="BV14" s="648">
        <v>761.13978349801596</v>
      </c>
      <c r="BW14" s="648">
        <v>559.09451177962899</v>
      </c>
      <c r="BX14" s="648">
        <v>542.41599062115529</v>
      </c>
      <c r="BY14" s="648">
        <v>449.88974195992603</v>
      </c>
      <c r="BZ14" s="173">
        <v>296.50272905714576</v>
      </c>
      <c r="CA14" s="1137">
        <v>358.96763618840401</v>
      </c>
      <c r="CB14" s="1138">
        <v>953.38545068379403</v>
      </c>
      <c r="CC14" s="1138">
        <v>410.55271288221201</v>
      </c>
      <c r="CD14" s="1138">
        <v>513.33903700723602</v>
      </c>
      <c r="CE14" s="1138">
        <v>506.49135214260798</v>
      </c>
      <c r="CF14" s="1139">
        <v>189.93698254538501</v>
      </c>
      <c r="CG14" s="429"/>
      <c r="CH14" s="169" t="s">
        <v>536</v>
      </c>
      <c r="CI14" s="172">
        <v>829.18711900000005</v>
      </c>
      <c r="CJ14" s="337">
        <v>1990.0631559999999</v>
      </c>
      <c r="CK14" s="337">
        <v>468.599805</v>
      </c>
      <c r="CL14" s="647">
        <v>801.3118198978857</v>
      </c>
      <c r="CM14" s="648">
        <v>1861.661346520036</v>
      </c>
      <c r="CN14" s="648">
        <v>527.18809805220201</v>
      </c>
      <c r="CO14" s="1137">
        <v>676.28726043860104</v>
      </c>
      <c r="CP14" s="1138">
        <v>1716.9447251485501</v>
      </c>
      <c r="CQ14" s="1139">
        <v>539.44118586248703</v>
      </c>
      <c r="CR14" s="429"/>
      <c r="CS14" s="233" t="s">
        <v>647</v>
      </c>
      <c r="CT14" s="230">
        <v>-122.80767899999999</v>
      </c>
      <c r="CU14" s="230">
        <v>197.272976</v>
      </c>
      <c r="CV14" s="230">
        <v>-366.37117000000001</v>
      </c>
      <c r="CW14" s="230">
        <v>754.16846299999997</v>
      </c>
      <c r="CX14" s="230">
        <v>-91.067939678572486</v>
      </c>
      <c r="CY14" s="230">
        <v>166.21130538240533</v>
      </c>
      <c r="CZ14" s="230">
        <v>-380.82692694183032</v>
      </c>
      <c r="DA14" s="230">
        <v>793.21528862519506</v>
      </c>
      <c r="DB14" s="230">
        <v>-79.419105222843598</v>
      </c>
      <c r="DC14" s="230">
        <v>152.10892461424899</v>
      </c>
      <c r="DD14" s="230">
        <v>-402.43501937791075</v>
      </c>
      <c r="DE14" s="235">
        <v>720.47193394471128</v>
      </c>
      <c r="DG14" s="169" t="s">
        <v>536</v>
      </c>
      <c r="DH14" s="1147" t="s">
        <v>730</v>
      </c>
      <c r="DI14" s="1150" t="s">
        <v>800</v>
      </c>
      <c r="DJ14" s="704" t="s">
        <v>801</v>
      </c>
      <c r="DK14" s="704" t="s">
        <v>802</v>
      </c>
      <c r="DL14" s="337" t="s">
        <v>803</v>
      </c>
      <c r="DM14" s="174" t="s">
        <v>804</v>
      </c>
      <c r="DN14" s="451"/>
      <c r="DO14" s="167" t="s">
        <v>536</v>
      </c>
      <c r="DP14" s="704">
        <v>1683.7189020000001</v>
      </c>
      <c r="DQ14" s="337">
        <v>1621.1532071239462</v>
      </c>
      <c r="DR14" s="1139">
        <v>1618.33624459969</v>
      </c>
      <c r="DS14" s="63"/>
      <c r="DT14" s="169" t="s">
        <v>536</v>
      </c>
      <c r="DU14" s="172">
        <v>3218.8501639999999</v>
      </c>
      <c r="DV14" s="337">
        <v>3185.1612683776871</v>
      </c>
      <c r="DW14" s="1139">
        <v>2932.67317144964</v>
      </c>
      <c r="DX14" s="63"/>
      <c r="DY14" s="169" t="s">
        <v>536</v>
      </c>
      <c r="DZ14" s="1089">
        <f t="shared" si="0"/>
        <v>1.9117503284999053</v>
      </c>
      <c r="EA14" s="787">
        <f t="shared" si="1"/>
        <v>1.9647503113098204</v>
      </c>
      <c r="EB14" s="776">
        <f t="shared" si="2"/>
        <v>1.8121531796842769</v>
      </c>
      <c r="EC14" s="55"/>
      <c r="ED14" s="541"/>
      <c r="EE14" s="169" t="s">
        <v>536</v>
      </c>
      <c r="EF14" s="735">
        <v>858.11850800000002</v>
      </c>
      <c r="EG14" s="736">
        <v>66.293655999999999</v>
      </c>
      <c r="EH14" s="736">
        <v>366.41085500000003</v>
      </c>
      <c r="EI14" s="736">
        <v>325.10771599999998</v>
      </c>
      <c r="EJ14" s="736">
        <v>67.788167000000001</v>
      </c>
      <c r="EK14" s="703">
        <v>811.93927027135419</v>
      </c>
      <c r="EL14" s="704">
        <v>35.946198571561467</v>
      </c>
      <c r="EM14" s="704">
        <v>386.2582009416771</v>
      </c>
      <c r="EN14" s="704">
        <v>325.74649655824845</v>
      </c>
      <c r="EO14" s="704">
        <v>61.263040781105147</v>
      </c>
      <c r="EP14" s="1137">
        <v>847.51700779657006</v>
      </c>
      <c r="EQ14" s="1138">
        <v>50.993384129252803</v>
      </c>
      <c r="ER14" s="1138">
        <v>396.82547199424403</v>
      </c>
      <c r="ES14" s="1138">
        <v>247.998692117411</v>
      </c>
      <c r="ET14" s="1139">
        <v>75.001688562212706</v>
      </c>
      <c r="EU14" s="430"/>
      <c r="EV14" s="169" t="s">
        <v>536</v>
      </c>
      <c r="EW14" s="703">
        <v>292.53826199999997</v>
      </c>
      <c r="EX14" s="704">
        <v>311.86103100000003</v>
      </c>
      <c r="EY14" s="704">
        <v>180.41249300000001</v>
      </c>
      <c r="EZ14" s="704">
        <v>73.306723000000005</v>
      </c>
      <c r="FA14" s="703">
        <v>734.20048699999995</v>
      </c>
      <c r="FB14" s="704">
        <v>1186.747151</v>
      </c>
      <c r="FC14" s="704">
        <v>618.59810200000004</v>
      </c>
      <c r="FD14" s="704">
        <v>199.30058099999999</v>
      </c>
      <c r="FE14" s="703">
        <v>212.78933386830079</v>
      </c>
      <c r="FF14" s="704">
        <v>283.12657955542375</v>
      </c>
      <c r="FG14" s="704">
        <v>223.41793489104688</v>
      </c>
      <c r="FH14" s="173">
        <v>92.605421956582674</v>
      </c>
      <c r="FI14" s="703">
        <v>491.80519187420384</v>
      </c>
      <c r="FJ14" s="704">
        <v>1207.4983712214994</v>
      </c>
      <c r="FK14" s="746">
        <v>722.52981221097582</v>
      </c>
      <c r="FL14" s="747">
        <v>182.20938551675664</v>
      </c>
      <c r="FM14" s="1137">
        <v>321.46960685220398</v>
      </c>
      <c r="FN14" s="1138">
        <v>285.48247141038303</v>
      </c>
      <c r="FO14" s="1138">
        <v>197.07011589621001</v>
      </c>
      <c r="FP14" s="1139">
        <v>43.494813637773603</v>
      </c>
      <c r="FQ14" s="1137">
        <v>716.11743035180996</v>
      </c>
      <c r="FR14" s="1138">
        <v>1021.2272315594601</v>
      </c>
      <c r="FS14" s="1138">
        <v>741.66950514280404</v>
      </c>
      <c r="FT14" s="1139">
        <v>94.691368207161602</v>
      </c>
      <c r="FV14" s="167" t="s">
        <v>536</v>
      </c>
      <c r="FW14" s="337">
        <v>374.96214500000002</v>
      </c>
      <c r="FX14" s="337">
        <v>156.51099400000001</v>
      </c>
      <c r="FY14" s="337">
        <v>141.143291</v>
      </c>
      <c r="FZ14" s="173">
        <v>86.690308999999999</v>
      </c>
      <c r="GA14" s="703">
        <v>407.90473257849061</v>
      </c>
      <c r="GB14" s="704">
        <v>119.88809325093682</v>
      </c>
      <c r="GC14" s="704">
        <v>145.02391175789259</v>
      </c>
      <c r="GD14" s="173">
        <v>100.45100069371068</v>
      </c>
      <c r="GE14" s="1137">
        <v>414.62974290694501</v>
      </c>
      <c r="GF14" s="1138">
        <v>128.16855894147</v>
      </c>
      <c r="GG14" s="1138">
        <v>114.039301057309</v>
      </c>
      <c r="GH14" s="1139">
        <v>63.941542004115107</v>
      </c>
      <c r="GJ14" s="169" t="s">
        <v>536</v>
      </c>
      <c r="GK14" s="703">
        <v>1902.497946</v>
      </c>
      <c r="GL14" s="704">
        <v>1870.4987330471381</v>
      </c>
      <c r="GM14" s="1139">
        <v>1905.50164323271</v>
      </c>
      <c r="GO14" s="169" t="s">
        <v>536</v>
      </c>
      <c r="GP14" s="703">
        <v>1683.7189020000001</v>
      </c>
      <c r="GQ14" s="704">
        <v>49.894002999999998</v>
      </c>
      <c r="GR14" s="173">
        <v>168.88504</v>
      </c>
      <c r="GS14" s="703">
        <v>1621.1532071239462</v>
      </c>
      <c r="GT14" s="704">
        <v>65.28713362345718</v>
      </c>
      <c r="GU14" s="173">
        <v>184.05839229973475</v>
      </c>
      <c r="GV14" s="1137">
        <v>1618.33624459969</v>
      </c>
      <c r="GW14" s="1138">
        <v>48.520577748810602</v>
      </c>
      <c r="GX14" s="1139">
        <v>238.644820884208</v>
      </c>
      <c r="GZ14" s="169" t="s">
        <v>536</v>
      </c>
      <c r="HA14" s="172">
        <v>623.70002099999999</v>
      </c>
      <c r="HB14" s="337">
        <v>1271.5039589999999</v>
      </c>
      <c r="HC14" s="173">
        <f t="shared" si="7"/>
        <v>7.2939660000001822</v>
      </c>
      <c r="HD14" s="703">
        <v>667.02905198412736</v>
      </c>
      <c r="HE14" s="704">
        <v>1203.469681063011</v>
      </c>
      <c r="HF14" s="173">
        <f t="shared" si="8"/>
        <v>0</v>
      </c>
      <c r="HG14" s="583">
        <v>569.16383958752203</v>
      </c>
      <c r="HH14" s="1138">
        <v>1323.27529290507</v>
      </c>
      <c r="HI14" s="173">
        <f t="shared" si="9"/>
        <v>13.062510740117887</v>
      </c>
      <c r="HK14" s="169" t="s">
        <v>536</v>
      </c>
      <c r="HL14" s="704">
        <v>1683.7189020000001</v>
      </c>
      <c r="HM14" s="704">
        <v>6179.0348160000003</v>
      </c>
      <c r="HN14" s="776">
        <f t="shared" si="10"/>
        <v>3.6698731650872682</v>
      </c>
      <c r="HO14" s="703">
        <v>1621.1532071239462</v>
      </c>
      <c r="HP14" s="704">
        <v>6508.195649735213</v>
      </c>
      <c r="HQ14" s="776">
        <f t="shared" si="11"/>
        <v>4.0145469417299964</v>
      </c>
      <c r="HR14" s="1138">
        <v>1618.33624459969</v>
      </c>
      <c r="HS14" s="1138">
        <v>6180.4229315091598</v>
      </c>
      <c r="HT14" s="784">
        <f t="shared" si="12"/>
        <v>3.8189980309301812</v>
      </c>
      <c r="HV14" s="169" t="s">
        <v>536</v>
      </c>
      <c r="HW14" s="172">
        <v>576.762111</v>
      </c>
      <c r="HX14" s="337">
        <v>3455.965553</v>
      </c>
      <c r="HY14" s="787">
        <f t="shared" si="13"/>
        <v>5.9920121087843095</v>
      </c>
      <c r="HZ14" s="704">
        <v>1099.662826</v>
      </c>
      <c r="IA14" s="704">
        <v>2712.2214610000001</v>
      </c>
      <c r="IB14" s="787">
        <f t="shared" si="14"/>
        <v>2.4664118826910313</v>
      </c>
      <c r="IC14" s="703">
        <v>625.55576240162873</v>
      </c>
      <c r="ID14" s="704">
        <v>3854.9884742475069</v>
      </c>
      <c r="IE14" s="787">
        <f t="shared" si="15"/>
        <v>6.1625017399687367</v>
      </c>
      <c r="IF14" s="704">
        <v>995.59744472231762</v>
      </c>
      <c r="IG14" s="704">
        <v>2653.2071754877056</v>
      </c>
      <c r="IH14" s="776">
        <f t="shared" si="16"/>
        <v>2.6649397199163287</v>
      </c>
      <c r="II14" s="1137">
        <v>535.97807748434502</v>
      </c>
      <c r="IJ14" s="1138">
        <v>3464.79760939894</v>
      </c>
      <c r="IK14" s="1170">
        <f t="shared" si="17"/>
        <v>6.4644390413526578</v>
      </c>
      <c r="IL14" s="1138">
        <v>1069.29565637523</v>
      </c>
      <c r="IM14" s="1138">
        <v>2689.5896143406299</v>
      </c>
      <c r="IN14" s="1171">
        <f t="shared" si="18"/>
        <v>2.5152908817173922</v>
      </c>
      <c r="IP14" s="169" t="s">
        <v>536</v>
      </c>
      <c r="IQ14" s="703">
        <v>200.98190299999999</v>
      </c>
      <c r="IR14" s="704">
        <v>484.39399700000001</v>
      </c>
      <c r="IS14" s="704">
        <v>285.97995900000001</v>
      </c>
      <c r="IT14" s="704">
        <v>166.17200500000001</v>
      </c>
      <c r="IU14" s="704">
        <v>546.19103700000005</v>
      </c>
      <c r="IV14" s="704">
        <v>6179.0348160000003</v>
      </c>
      <c r="IW14" s="703">
        <v>133.15450917088822</v>
      </c>
      <c r="IX14" s="704">
        <v>400.11342712323238</v>
      </c>
      <c r="IY14" s="704">
        <v>276.8754350435085</v>
      </c>
      <c r="IZ14" s="704">
        <v>231.36171487486209</v>
      </c>
      <c r="JA14" s="704">
        <v>579.64812091145507</v>
      </c>
      <c r="JB14" s="173">
        <v>6508.195649735213</v>
      </c>
      <c r="JC14" s="1137">
        <v>186.662981908966</v>
      </c>
      <c r="JD14" s="1138">
        <v>405.49291414566102</v>
      </c>
      <c r="JE14" s="1138">
        <v>339.017577481263</v>
      </c>
      <c r="JF14" s="1138">
        <v>190.38258157413301</v>
      </c>
      <c r="JG14" s="1138">
        <v>496.78018948966798</v>
      </c>
      <c r="JH14" s="1139">
        <v>6180.4229315091598</v>
      </c>
      <c r="JJ14" s="169" t="s">
        <v>536</v>
      </c>
      <c r="JK14" s="172">
        <v>782.62750000000005</v>
      </c>
      <c r="JL14" s="337">
        <v>834.45668599999999</v>
      </c>
      <c r="JM14" s="337">
        <v>7.5701619999999998</v>
      </c>
      <c r="JN14" s="173">
        <v>59.064554000000001</v>
      </c>
      <c r="JO14" s="703">
        <v>837.69531269409072</v>
      </c>
      <c r="JP14" s="704">
        <v>743.93214310328437</v>
      </c>
      <c r="JQ14" s="704">
        <v>3.6233821338858698</v>
      </c>
      <c r="JR14" s="173">
        <v>35.902369192685263</v>
      </c>
      <c r="JS14" s="1137">
        <v>715.53163873932795</v>
      </c>
      <c r="JT14" s="1138">
        <v>863.17321741665944</v>
      </c>
      <c r="JU14" s="1138">
        <v>6.0701064051145002</v>
      </c>
      <c r="JV14" s="1139">
        <v>33.5612820385888</v>
      </c>
      <c r="JW14" s="432"/>
      <c r="JX14" s="169" t="s">
        <v>536</v>
      </c>
      <c r="JY14" s="703">
        <v>378.03234686143497</v>
      </c>
      <c r="JZ14" s="704">
        <v>489.82323883892701</v>
      </c>
      <c r="KA14" s="704">
        <v>251.86879175480101</v>
      </c>
      <c r="KB14" s="173">
        <v>498.61186714452703</v>
      </c>
      <c r="KC14" s="603"/>
      <c r="KD14" s="169" t="s">
        <v>536</v>
      </c>
      <c r="KE14" s="703">
        <v>150.02046625143899</v>
      </c>
      <c r="KF14" s="704">
        <v>100.512972383413</v>
      </c>
      <c r="KG14" s="704">
        <v>226.27424681782099</v>
      </c>
      <c r="KH14" s="704">
        <v>248.15130590278301</v>
      </c>
      <c r="KI14" s="704">
        <v>267.37255423377701</v>
      </c>
      <c r="KJ14" s="173">
        <v>67.016648140801294</v>
      </c>
      <c r="KK14" s="703">
        <v>334.41783379522298</v>
      </c>
      <c r="KL14" s="704">
        <v>120.005859030455</v>
      </c>
      <c r="KM14" s="704">
        <v>28.5723802868714</v>
      </c>
      <c r="KN14" s="704">
        <v>25.615860208462301</v>
      </c>
      <c r="KO14" s="704">
        <v>12.302721584635099</v>
      </c>
      <c r="KP14" s="173">
        <v>15.0634225786981</v>
      </c>
      <c r="KQ14" s="703">
        <v>484.43830004666199</v>
      </c>
      <c r="KR14" s="704">
        <v>220.51883141386801</v>
      </c>
      <c r="KS14" s="704">
        <v>254.846627104693</v>
      </c>
      <c r="KT14" s="704">
        <v>280.376453295315</v>
      </c>
      <c r="KU14" s="704">
        <v>282.90188759643502</v>
      </c>
      <c r="KV14" s="173">
        <v>85.306682497522203</v>
      </c>
      <c r="KW14" s="429"/>
      <c r="KX14" s="169" t="s">
        <v>536</v>
      </c>
      <c r="KY14" s="172">
        <f t="shared" si="19"/>
        <v>426.33819900000003</v>
      </c>
      <c r="KZ14" s="337">
        <v>896.31848500000001</v>
      </c>
      <c r="LA14" s="173">
        <v>361.06221799999997</v>
      </c>
      <c r="LB14" s="172">
        <f t="shared" si="3"/>
        <v>360.77751442199769</v>
      </c>
      <c r="LC14" s="704">
        <v>921.957662590984</v>
      </c>
      <c r="LD14" s="173">
        <v>338.41803011096465</v>
      </c>
      <c r="LE14" s="172">
        <f t="shared" si="4"/>
        <v>342.62905245396996</v>
      </c>
      <c r="LF14" s="1138">
        <v>947.65845597052498</v>
      </c>
      <c r="LG14" s="1139">
        <v>328.04873617519502</v>
      </c>
      <c r="LH14" s="128"/>
      <c r="LI14" s="169" t="s">
        <v>536</v>
      </c>
      <c r="LJ14" s="703">
        <v>1525.788863</v>
      </c>
      <c r="LK14" s="704">
        <v>1376.350379</v>
      </c>
      <c r="LL14" s="704">
        <v>149.43848399999999</v>
      </c>
      <c r="LM14" s="704">
        <v>517.23542599999996</v>
      </c>
      <c r="LN14" s="704">
        <v>128.46310399999999</v>
      </c>
      <c r="LO14" s="173">
        <v>144.75906699999999</v>
      </c>
      <c r="LP14" s="703">
        <v>1481.4397475691512</v>
      </c>
      <c r="LQ14" s="704">
        <v>1348.4506436614602</v>
      </c>
      <c r="LR14" s="704">
        <v>132.98910390769112</v>
      </c>
      <c r="LS14" s="704">
        <v>340.00091914676369</v>
      </c>
      <c r="LT14" s="704">
        <v>133.84385405683869</v>
      </c>
      <c r="LU14" s="173">
        <v>126.57013809091623</v>
      </c>
      <c r="LV14" s="1137">
        <v>1366.2805206077801</v>
      </c>
      <c r="LW14" s="1138">
        <v>1261.8319010950199</v>
      </c>
      <c r="LX14" s="1138">
        <v>104.44861951276199</v>
      </c>
      <c r="LY14" s="1138">
        <v>533.00483923444699</v>
      </c>
      <c r="LZ14" s="1138">
        <v>59.449205691982698</v>
      </c>
      <c r="MA14" s="1139">
        <v>75.529783864535005</v>
      </c>
      <c r="MC14" s="169" t="s">
        <v>536</v>
      </c>
      <c r="MD14" s="703">
        <v>0</v>
      </c>
      <c r="ME14" s="704">
        <v>86.761538000000002</v>
      </c>
      <c r="MF14" s="704">
        <v>633.30576499999995</v>
      </c>
      <c r="MG14" s="704">
        <v>358.03231099999999</v>
      </c>
      <c r="MH14" s="704">
        <v>213.72461699999999</v>
      </c>
      <c r="MI14" s="173">
        <v>83.526149000000004</v>
      </c>
      <c r="MJ14" s="703">
        <v>0</v>
      </c>
      <c r="MK14" s="704">
        <v>106.9750143193091</v>
      </c>
      <c r="ML14" s="704">
        <v>624.29938783464877</v>
      </c>
      <c r="MM14" s="704">
        <v>372.8989703007428</v>
      </c>
      <c r="MN14" s="704">
        <v>196.89443193239927</v>
      </c>
      <c r="MO14" s="173">
        <v>50.382836929822119</v>
      </c>
      <c r="MP14" s="1137">
        <v>0</v>
      </c>
      <c r="MQ14" s="1138">
        <v>89.185139190383296</v>
      </c>
      <c r="MR14" s="1138">
        <v>586.86419234305595</v>
      </c>
      <c r="MS14" s="1138">
        <v>366.30215173667199</v>
      </c>
      <c r="MT14" s="1138">
        <v>178.14631447614599</v>
      </c>
      <c r="MU14" s="1139">
        <v>41.3341033487633</v>
      </c>
      <c r="MW14" s="169" t="s">
        <v>536</v>
      </c>
      <c r="MX14" s="172">
        <v>1391.2145069999999</v>
      </c>
      <c r="MY14" s="337">
        <v>1157.958719</v>
      </c>
      <c r="MZ14" s="337">
        <v>233.255787</v>
      </c>
      <c r="NA14" s="703">
        <v>1366.5182821713488</v>
      </c>
      <c r="NB14" s="704">
        <v>1064.508888121331</v>
      </c>
      <c r="NC14" s="173">
        <v>302.00939405001799</v>
      </c>
      <c r="ND14" s="1137">
        <v>1293.7803905755</v>
      </c>
      <c r="NE14" s="1138">
        <v>1008.02771149478</v>
      </c>
      <c r="NF14" s="1139">
        <v>285.75267908071902</v>
      </c>
      <c r="NH14" s="169" t="s">
        <v>536</v>
      </c>
      <c r="NI14" s="703">
        <v>831.33421203712714</v>
      </c>
      <c r="NJ14" s="173">
        <v>233.17467608420372</v>
      </c>
      <c r="NK14" s="703">
        <v>172.38058743743832</v>
      </c>
      <c r="NL14" s="704">
        <v>129.62880661257967</v>
      </c>
      <c r="NM14" s="173">
        <v>0</v>
      </c>
      <c r="NN14" s="1137">
        <v>805.59084916382301</v>
      </c>
      <c r="NO14" s="1139">
        <v>202.43686233095781</v>
      </c>
      <c r="NP14" s="1137">
        <v>156.97713559922499</v>
      </c>
      <c r="NQ14" s="1138">
        <v>128.775543481494</v>
      </c>
      <c r="NR14" s="1139">
        <v>0</v>
      </c>
      <c r="NS14" s="136"/>
      <c r="NT14" s="169" t="s">
        <v>536</v>
      </c>
      <c r="NU14" s="703">
        <v>175.83805868222859</v>
      </c>
      <c r="NV14" s="704">
        <v>14.23321538275537</v>
      </c>
      <c r="NW14" s="704">
        <v>3.5111991406560699</v>
      </c>
      <c r="NX14" s="173">
        <v>39.592202878563697</v>
      </c>
      <c r="NY14" s="1137">
        <v>133.091741886119</v>
      </c>
      <c r="NZ14" s="1138">
        <v>10.493854766899601</v>
      </c>
      <c r="OA14" s="1138">
        <v>0</v>
      </c>
      <c r="OB14" s="1139">
        <v>58.851265677939203</v>
      </c>
      <c r="OC14" s="553"/>
      <c r="OD14" s="169" t="s">
        <v>536</v>
      </c>
      <c r="OE14" s="703">
        <v>77.6324523490117</v>
      </c>
      <c r="OF14" s="704">
        <v>127.937123904506</v>
      </c>
      <c r="OG14" s="704">
        <v>97.500825112976102</v>
      </c>
      <c r="OH14" s="704">
        <v>133.48535651850599</v>
      </c>
      <c r="OI14" s="704">
        <v>459.139107666163</v>
      </c>
      <c r="OJ14" s="704">
        <v>74.409967289082502</v>
      </c>
      <c r="OK14" s="173">
        <v>16.431255100151201</v>
      </c>
      <c r="OL14" s="703">
        <v>96.616186939058395</v>
      </c>
      <c r="OM14" s="704">
        <v>127.937123904506</v>
      </c>
      <c r="ON14" s="704">
        <v>97.500825112976102</v>
      </c>
      <c r="OO14" s="704">
        <v>136.72028722297699</v>
      </c>
      <c r="OP14" s="704">
        <v>579.397143128832</v>
      </c>
      <c r="OQ14" s="704">
        <v>237.26802033198399</v>
      </c>
      <c r="OR14" s="173">
        <v>1620.32008457744</v>
      </c>
      <c r="OT14" s="169" t="s">
        <v>536</v>
      </c>
      <c r="OU14" s="172">
        <v>299.311735</v>
      </c>
      <c r="OV14" s="337">
        <v>174.759918</v>
      </c>
      <c r="OW14" s="337">
        <v>302.659696</v>
      </c>
      <c r="OX14" s="173">
        <v>1269.937621</v>
      </c>
      <c r="OY14" s="703">
        <v>245.13751407416805</v>
      </c>
      <c r="OZ14" s="704">
        <v>170.60541148922306</v>
      </c>
      <c r="PA14" s="704">
        <v>270.35483987765093</v>
      </c>
      <c r="PB14" s="173">
        <v>1454.9688520863356</v>
      </c>
      <c r="PC14" s="1137">
        <v>130.8060024833963</v>
      </c>
      <c r="PD14" s="1138">
        <v>140.989315208389</v>
      </c>
      <c r="PE14" s="1138">
        <v>266.33135904893999</v>
      </c>
      <c r="PF14" s="1139">
        <v>1352.113171946608</v>
      </c>
      <c r="PH14" s="169" t="s">
        <v>536</v>
      </c>
      <c r="PI14" s="703">
        <v>42.843214216588201</v>
      </c>
      <c r="PJ14" s="704">
        <v>51.226101491378103</v>
      </c>
      <c r="PK14" s="704">
        <v>91.295868355269306</v>
      </c>
      <c r="PL14" s="173">
        <v>652.83938647170601</v>
      </c>
      <c r="PM14" s="703">
        <v>87.96278826680819</v>
      </c>
      <c r="PN14" s="704">
        <v>89.763213717010402</v>
      </c>
      <c r="PO14" s="704">
        <v>175.03549069367099</v>
      </c>
      <c r="PP14" s="173">
        <v>699.27378547490116</v>
      </c>
      <c r="PQ14" s="65"/>
      <c r="PR14" s="169" t="s">
        <v>536</v>
      </c>
      <c r="PS14" s="1038">
        <v>65.505468856028301</v>
      </c>
      <c r="PT14" s="1039">
        <v>304.23963793652899</v>
      </c>
      <c r="PU14" s="1039">
        <v>117.248546204476</v>
      </c>
      <c r="PV14" s="1039">
        <v>32.351191513369699</v>
      </c>
      <c r="PW14" s="1039">
        <v>563.37097501385199</v>
      </c>
      <c r="PX14" s="1040">
        <v>211.06457105124599</v>
      </c>
      <c r="PZ14" s="169" t="s">
        <v>536</v>
      </c>
      <c r="QA14" s="1038">
        <v>898.37622042907697</v>
      </c>
      <c r="QB14" s="1039">
        <v>395.40417014642298</v>
      </c>
      <c r="QC14" s="1039">
        <v>225.24748544151299</v>
      </c>
      <c r="QD14" s="1039">
        <v>38.981314631714902</v>
      </c>
      <c r="QE14" s="1039">
        <v>131.17537007319501</v>
      </c>
      <c r="QF14" s="1040">
        <v>0</v>
      </c>
    </row>
    <row r="15" spans="1:448" ht="13.5" customHeight="1">
      <c r="A15" s="591" t="s">
        <v>480</v>
      </c>
      <c r="B15" s="167" t="s">
        <v>537</v>
      </c>
      <c r="C15" s="1103">
        <v>3431.305582</v>
      </c>
      <c r="D15" s="690">
        <v>3247.3746949233482</v>
      </c>
      <c r="E15" s="691">
        <v>3405.9394523206101</v>
      </c>
      <c r="F15" s="428"/>
      <c r="G15" s="169" t="s">
        <v>537</v>
      </c>
      <c r="H15" s="577">
        <f t="shared" si="5"/>
        <v>-1.0958303747354181E-2</v>
      </c>
      <c r="I15" s="668">
        <f t="shared" si="6"/>
        <v>9.5803851888667246E-3</v>
      </c>
      <c r="J15" s="612"/>
      <c r="K15" s="63"/>
      <c r="L15" s="167" t="s">
        <v>537</v>
      </c>
      <c r="M15" s="636">
        <v>28</v>
      </c>
      <c r="N15" s="637">
        <v>33</v>
      </c>
      <c r="O15" s="637">
        <v>21</v>
      </c>
      <c r="P15" s="637">
        <v>36</v>
      </c>
      <c r="Q15" s="637">
        <v>24</v>
      </c>
      <c r="R15" s="637">
        <v>33</v>
      </c>
      <c r="S15" s="637">
        <v>15</v>
      </c>
      <c r="T15" s="637">
        <v>24</v>
      </c>
      <c r="U15" s="1138">
        <v>38</v>
      </c>
      <c r="V15" s="1138">
        <v>23</v>
      </c>
      <c r="W15" s="1139">
        <v>46</v>
      </c>
      <c r="X15" s="169" t="s">
        <v>537</v>
      </c>
      <c r="Y15" s="666">
        <v>30.5</v>
      </c>
      <c r="Z15" s="667">
        <v>28.5</v>
      </c>
      <c r="AA15" s="667">
        <v>28.5</v>
      </c>
      <c r="AB15" s="667">
        <v>19.5</v>
      </c>
      <c r="AC15" s="667">
        <v>19.5</v>
      </c>
      <c r="AD15" s="668">
        <v>-6.5573770491803282E-2</v>
      </c>
      <c r="AE15" s="668">
        <v>0</v>
      </c>
      <c r="AF15" s="668">
        <v>-0.31578947368421051</v>
      </c>
      <c r="AG15" s="1213">
        <v>0</v>
      </c>
      <c r="AN15" s="169" t="s">
        <v>537</v>
      </c>
      <c r="AO15" s="636">
        <v>3.8182179999999999</v>
      </c>
      <c r="AP15" s="637">
        <v>95.224202000000005</v>
      </c>
      <c r="AQ15" s="637">
        <v>492.26038399999999</v>
      </c>
      <c r="AR15" s="637">
        <v>435.64812799999999</v>
      </c>
      <c r="AS15" s="637">
        <v>335.32504299999999</v>
      </c>
      <c r="AT15" s="637">
        <v>136.332221</v>
      </c>
      <c r="AU15" s="637">
        <v>547.53622900000005</v>
      </c>
      <c r="AV15" s="173">
        <v>967.45101099999999</v>
      </c>
      <c r="AW15" s="636">
        <v>0</v>
      </c>
      <c r="AX15" s="637">
        <v>110.76405131189748</v>
      </c>
      <c r="AY15" s="637">
        <v>591.34284830144281</v>
      </c>
      <c r="AZ15" s="637">
        <v>393.6945931030117</v>
      </c>
      <c r="BA15" s="637">
        <v>332.34563007412021</v>
      </c>
      <c r="BB15" s="637">
        <v>75.898749934695573</v>
      </c>
      <c r="BC15" s="637">
        <v>569.73647349923738</v>
      </c>
      <c r="BD15" s="173">
        <v>834.98274077680117</v>
      </c>
      <c r="BE15" s="1137">
        <v>0</v>
      </c>
      <c r="BF15" s="1138">
        <v>108.491215202577</v>
      </c>
      <c r="BG15" s="1138">
        <v>650.64682683638398</v>
      </c>
      <c r="BH15" s="1138">
        <v>413.90321165199202</v>
      </c>
      <c r="BI15" s="1138">
        <v>318.56951632926001</v>
      </c>
      <c r="BJ15" s="1138">
        <v>111.78018465702399</v>
      </c>
      <c r="BK15" s="1138">
        <v>542.18885886954001</v>
      </c>
      <c r="BL15" s="1139">
        <v>902.98765751345604</v>
      </c>
      <c r="BN15" s="169" t="s">
        <v>537</v>
      </c>
      <c r="BO15" s="647">
        <v>417.71014500000001</v>
      </c>
      <c r="BP15" s="648">
        <v>1320.2775260000001</v>
      </c>
      <c r="BQ15" s="648">
        <v>537.65481599999998</v>
      </c>
      <c r="BR15" s="648">
        <v>485.10696799999999</v>
      </c>
      <c r="BS15" s="648">
        <v>332.17356999999998</v>
      </c>
      <c r="BT15" s="173">
        <v>338.38255700000002</v>
      </c>
      <c r="BU15" s="647">
        <v>338.60960792214132</v>
      </c>
      <c r="BV15" s="648">
        <v>1210.9410325369579</v>
      </c>
      <c r="BW15" s="648">
        <v>504.95076446479857</v>
      </c>
      <c r="BX15" s="648">
        <v>520.62778673018158</v>
      </c>
      <c r="BY15" s="648">
        <v>381.50048199410094</v>
      </c>
      <c r="BZ15" s="173">
        <v>290.74502127516735</v>
      </c>
      <c r="CA15" s="1137">
        <v>357.37198126038197</v>
      </c>
      <c r="CB15" s="1138">
        <v>1316.8111471822299</v>
      </c>
      <c r="CC15" s="1138">
        <v>510.03278552143598</v>
      </c>
      <c r="CD15" s="1138">
        <v>503.18449064359999</v>
      </c>
      <c r="CE15" s="1138">
        <v>409.58562666934699</v>
      </c>
      <c r="CF15" s="1139">
        <v>308.953421043616</v>
      </c>
      <c r="CG15" s="429"/>
      <c r="CH15" s="169" t="s">
        <v>537</v>
      </c>
      <c r="CI15" s="172">
        <v>791.64059599999996</v>
      </c>
      <c r="CJ15" s="337">
        <v>2128.8155310000002</v>
      </c>
      <c r="CK15" s="337">
        <v>510.84945499999998</v>
      </c>
      <c r="CL15" s="647">
        <v>716.39913824397979</v>
      </c>
      <c r="CM15" s="648">
        <v>2013.3827348569064</v>
      </c>
      <c r="CN15" s="648">
        <v>517.5928218224617</v>
      </c>
      <c r="CO15" s="1137">
        <v>841.52941058712804</v>
      </c>
      <c r="CP15" s="1138">
        <v>1972.4789713387299</v>
      </c>
      <c r="CQ15" s="1139">
        <v>591.93107039475399</v>
      </c>
      <c r="CR15" s="486"/>
      <c r="CS15" s="132" t="str">
        <f>CONCATENATE("Sources : Insee, RP", 'Aides traitements'!$I$9, ", RP",'Aides traitements'!$I$10," et RP", 'Aides traitements'!$I$11," exploitations principales")</f>
        <v>Sources : Insee, RP2009, RP2014 et RP2020 exploitations principales</v>
      </c>
      <c r="CT15" s="434"/>
      <c r="CU15" s="434"/>
      <c r="CV15" s="434"/>
      <c r="CW15" s="434"/>
      <c r="CX15" s="434"/>
      <c r="CY15" s="434"/>
      <c r="CZ15" s="434"/>
      <c r="DA15" s="434"/>
      <c r="DB15" s="434"/>
      <c r="DC15" s="434"/>
      <c r="DD15" s="434"/>
      <c r="DE15" s="434"/>
      <c r="DG15" s="169" t="s">
        <v>537</v>
      </c>
      <c r="DH15" s="1147" t="s">
        <v>731</v>
      </c>
      <c r="DI15" s="1150" t="s">
        <v>805</v>
      </c>
      <c r="DJ15" s="704" t="s">
        <v>806</v>
      </c>
      <c r="DK15" s="704" t="s">
        <v>807</v>
      </c>
      <c r="DL15" s="337" t="s">
        <v>808</v>
      </c>
      <c r="DM15" s="174" t="s">
        <v>809</v>
      </c>
      <c r="DN15" s="451"/>
      <c r="DO15" s="167" t="s">
        <v>537</v>
      </c>
      <c r="DP15" s="704">
        <v>2084.422086</v>
      </c>
      <c r="DQ15" s="337">
        <v>2004.4129038348581</v>
      </c>
      <c r="DR15" s="1139">
        <v>2148.9074768475298</v>
      </c>
      <c r="DS15" s="63"/>
      <c r="DT15" s="169" t="s">
        <v>537</v>
      </c>
      <c r="DU15" s="172">
        <v>3423.3055920000002</v>
      </c>
      <c r="DV15" s="337">
        <v>3243.3746980493984</v>
      </c>
      <c r="DW15" s="1139">
        <v>3403.9394502898399</v>
      </c>
      <c r="DX15" s="63"/>
      <c r="DY15" s="169" t="s">
        <v>537</v>
      </c>
      <c r="DZ15" s="1089">
        <f t="shared" si="0"/>
        <v>1.6423284012353341</v>
      </c>
      <c r="EA15" s="787">
        <f t="shared" si="1"/>
        <v>1.618117051553674</v>
      </c>
      <c r="EB15" s="776">
        <f t="shared" si="2"/>
        <v>1.58403257793279</v>
      </c>
      <c r="EC15" s="55"/>
      <c r="ED15" s="541"/>
      <c r="EE15" s="169" t="s">
        <v>537</v>
      </c>
      <c r="EF15" s="735">
        <v>1314.9917350000001</v>
      </c>
      <c r="EG15" s="736">
        <v>134.192869</v>
      </c>
      <c r="EH15" s="736">
        <v>314.45297399999998</v>
      </c>
      <c r="EI15" s="736">
        <v>236.13170299999999</v>
      </c>
      <c r="EJ15" s="736">
        <v>84.652805999999998</v>
      </c>
      <c r="EK15" s="703">
        <v>1257.8781755729838</v>
      </c>
      <c r="EL15" s="704">
        <v>103.12074536960957</v>
      </c>
      <c r="EM15" s="704">
        <v>325.89064309847612</v>
      </c>
      <c r="EN15" s="704">
        <v>234.53480937304988</v>
      </c>
      <c r="EO15" s="704">
        <v>82.988530420738542</v>
      </c>
      <c r="EP15" s="1137">
        <v>1383.37564310623</v>
      </c>
      <c r="EQ15" s="1138">
        <v>108.222200218712</v>
      </c>
      <c r="ER15" s="1138">
        <v>351.436906870548</v>
      </c>
      <c r="ES15" s="1138">
        <v>197.75591894468201</v>
      </c>
      <c r="ET15" s="1139">
        <v>108.11680770736</v>
      </c>
      <c r="EU15" s="430"/>
      <c r="EV15" s="169" t="s">
        <v>537</v>
      </c>
      <c r="EW15" s="703">
        <v>540.35835499999996</v>
      </c>
      <c r="EX15" s="704">
        <v>416.369934</v>
      </c>
      <c r="EY15" s="704">
        <v>237.045863</v>
      </c>
      <c r="EZ15" s="704">
        <v>121.21758199999999</v>
      </c>
      <c r="FA15" s="703">
        <v>1025.7014449999999</v>
      </c>
      <c r="FB15" s="704">
        <v>1139.438711</v>
      </c>
      <c r="FC15" s="704">
        <v>601.42939899999999</v>
      </c>
      <c r="FD15" s="704">
        <v>239.025891</v>
      </c>
      <c r="FE15" s="703">
        <v>529.44538145111278</v>
      </c>
      <c r="FF15" s="704">
        <v>393.07887846324513</v>
      </c>
      <c r="FG15" s="704">
        <v>221.40377768933593</v>
      </c>
      <c r="FH15" s="173">
        <v>113.95013796929008</v>
      </c>
      <c r="FI15" s="703">
        <v>922.12646462716498</v>
      </c>
      <c r="FJ15" s="704">
        <v>1141.6281641903445</v>
      </c>
      <c r="FK15" s="746">
        <v>641.43306813798608</v>
      </c>
      <c r="FL15" s="747">
        <v>199.57739317176183</v>
      </c>
      <c r="FM15" s="1137">
        <v>594.87541466714504</v>
      </c>
      <c r="FN15" s="1138">
        <v>377.53842435890601</v>
      </c>
      <c r="FO15" s="1138">
        <v>268.73503864111302</v>
      </c>
      <c r="FP15" s="1139">
        <v>142.22676543906499</v>
      </c>
      <c r="FQ15" s="1137">
        <v>1045.19533419137</v>
      </c>
      <c r="FR15" s="1138">
        <v>1096.4939249504801</v>
      </c>
      <c r="FS15" s="1138">
        <v>681.83902955334997</v>
      </c>
      <c r="FT15" s="1139">
        <v>223.039180334262</v>
      </c>
      <c r="FV15" s="167" t="s">
        <v>537</v>
      </c>
      <c r="FW15" s="337">
        <v>333.55951599999997</v>
      </c>
      <c r="FX15" s="337">
        <v>140.310035</v>
      </c>
      <c r="FY15" s="337">
        <v>97.986346999999995</v>
      </c>
      <c r="FZ15" s="173">
        <v>63.381585000000001</v>
      </c>
      <c r="GA15" s="703">
        <v>339.52503081792452</v>
      </c>
      <c r="GB15" s="704">
        <v>154.09734337040967</v>
      </c>
      <c r="GC15" s="704">
        <v>107.92914667584458</v>
      </c>
      <c r="GD15" s="173">
        <v>45.323179753542441</v>
      </c>
      <c r="GE15" s="1137">
        <v>365.74650603236199</v>
      </c>
      <c r="GF15" s="1138">
        <v>160.260465395745</v>
      </c>
      <c r="GG15" s="1138">
        <v>76.079759004500701</v>
      </c>
      <c r="GH15" s="1139">
        <v>55.222903089981699</v>
      </c>
      <c r="GJ15" s="169" t="s">
        <v>537</v>
      </c>
      <c r="GK15" s="703">
        <v>2461.4974569999999</v>
      </c>
      <c r="GL15" s="704">
        <v>2478.4984335245722</v>
      </c>
      <c r="GM15" s="1139">
        <v>2621.7018406693101</v>
      </c>
      <c r="GO15" s="169" t="s">
        <v>537</v>
      </c>
      <c r="GP15" s="703">
        <v>2084.422086</v>
      </c>
      <c r="GQ15" s="704">
        <v>130.302877</v>
      </c>
      <c r="GR15" s="173">
        <v>246.77249399999999</v>
      </c>
      <c r="GS15" s="703">
        <v>2004.4129038348581</v>
      </c>
      <c r="GT15" s="704">
        <v>151.30424449977994</v>
      </c>
      <c r="GU15" s="173">
        <v>322.78128518993378</v>
      </c>
      <c r="GV15" s="1137">
        <v>2148.9074768475298</v>
      </c>
      <c r="GW15" s="1138">
        <v>166.54145382048401</v>
      </c>
      <c r="GX15" s="1139">
        <v>306.25291000129903</v>
      </c>
      <c r="GZ15" s="169" t="s">
        <v>537</v>
      </c>
      <c r="HA15" s="172">
        <v>294.40188899999998</v>
      </c>
      <c r="HB15" s="337">
        <v>2152.8805539999998</v>
      </c>
      <c r="HC15" s="173">
        <f t="shared" si="7"/>
        <v>14.215013999999883</v>
      </c>
      <c r="HD15" s="703">
        <v>261.01013927976129</v>
      </c>
      <c r="HE15" s="704">
        <v>2203.8157477919058</v>
      </c>
      <c r="HF15" s="173">
        <f t="shared" si="8"/>
        <v>13.672546452904953</v>
      </c>
      <c r="HG15" s="583">
        <v>265.87452130372998</v>
      </c>
      <c r="HH15" s="1138">
        <v>2329.6342842188101</v>
      </c>
      <c r="HI15" s="173">
        <f t="shared" si="9"/>
        <v>26.193035146769944</v>
      </c>
      <c r="HK15" s="169" t="s">
        <v>537</v>
      </c>
      <c r="HL15" s="704">
        <v>2084.422086</v>
      </c>
      <c r="HM15" s="704">
        <v>6072.3631189999996</v>
      </c>
      <c r="HN15" s="776">
        <f t="shared" si="10"/>
        <v>2.9132118488788645</v>
      </c>
      <c r="HO15" s="703">
        <v>2004.4129038348581</v>
      </c>
      <c r="HP15" s="704">
        <v>5953.719150872269</v>
      </c>
      <c r="HQ15" s="776">
        <f t="shared" si="11"/>
        <v>2.9703057386437535</v>
      </c>
      <c r="HR15" s="1138">
        <v>2148.9074768475298</v>
      </c>
      <c r="HS15" s="1138">
        <v>6255.4760189623203</v>
      </c>
      <c r="HT15" s="784">
        <f t="shared" si="12"/>
        <v>2.9110029567858224</v>
      </c>
      <c r="HV15" s="169" t="s">
        <v>537</v>
      </c>
      <c r="HW15" s="172">
        <v>278.45745599999998</v>
      </c>
      <c r="HX15" s="337">
        <v>1633.460607</v>
      </c>
      <c r="HY15" s="787">
        <f t="shared" si="13"/>
        <v>5.8661047560529322</v>
      </c>
      <c r="HZ15" s="704">
        <v>1795.359633</v>
      </c>
      <c r="IA15" s="704">
        <v>4426.1974659999996</v>
      </c>
      <c r="IB15" s="787">
        <f t="shared" si="14"/>
        <v>2.4653542302295928</v>
      </c>
      <c r="IC15" s="703">
        <v>236.15093306820083</v>
      </c>
      <c r="ID15" s="704">
        <v>1432.8472703694445</v>
      </c>
      <c r="IE15" s="787">
        <f t="shared" si="15"/>
        <v>6.067506284024021</v>
      </c>
      <c r="IF15" s="704">
        <v>1754.5894243137525</v>
      </c>
      <c r="IG15" s="704">
        <v>4503.7386163244628</v>
      </c>
      <c r="IH15" s="776">
        <f t="shared" si="16"/>
        <v>2.5668333308722326</v>
      </c>
      <c r="II15" s="1137">
        <v>245.54934830379801</v>
      </c>
      <c r="IJ15" s="1138">
        <v>1506.96066831961</v>
      </c>
      <c r="IK15" s="1170">
        <f t="shared" si="17"/>
        <v>6.1370990341834322</v>
      </c>
      <c r="IL15" s="1138">
        <v>1886.36475210003</v>
      </c>
      <c r="IM15" s="1138">
        <v>4726.95411938906</v>
      </c>
      <c r="IN15" s="1171">
        <f t="shared" si="18"/>
        <v>2.5058537136715962</v>
      </c>
      <c r="IP15" s="169" t="s">
        <v>537</v>
      </c>
      <c r="IQ15" s="703">
        <v>528.69338600000003</v>
      </c>
      <c r="IR15" s="704">
        <v>507.72023200000001</v>
      </c>
      <c r="IS15" s="704">
        <v>453.84581500000002</v>
      </c>
      <c r="IT15" s="704">
        <v>255.098083</v>
      </c>
      <c r="IU15" s="704">
        <v>339.06457</v>
      </c>
      <c r="IV15" s="704">
        <v>6072.3631189999996</v>
      </c>
      <c r="IW15" s="703">
        <v>532.17643026616145</v>
      </c>
      <c r="IX15" s="704">
        <v>469.5484571600864</v>
      </c>
      <c r="IY15" s="704">
        <v>389.44679311465967</v>
      </c>
      <c r="IZ15" s="704">
        <v>253.90795922287791</v>
      </c>
      <c r="JA15" s="704">
        <v>359.33326407107256</v>
      </c>
      <c r="JB15" s="173">
        <v>5953.719150872269</v>
      </c>
      <c r="JC15" s="1137">
        <v>566.172663772193</v>
      </c>
      <c r="JD15" s="1138">
        <v>548.19108357321704</v>
      </c>
      <c r="JE15" s="1138">
        <v>389.13219288827202</v>
      </c>
      <c r="JF15" s="1138">
        <v>265.43961615951002</v>
      </c>
      <c r="JG15" s="1138">
        <v>379.97192045433798</v>
      </c>
      <c r="JH15" s="1139">
        <v>6255.4760189623203</v>
      </c>
      <c r="JJ15" s="169" t="s">
        <v>537</v>
      </c>
      <c r="JK15" s="172">
        <v>627.62640999999996</v>
      </c>
      <c r="JL15" s="337">
        <v>1365.6453040000001</v>
      </c>
      <c r="JM15" s="337">
        <v>23.321280000000002</v>
      </c>
      <c r="JN15" s="173">
        <v>67.829092000000003</v>
      </c>
      <c r="JO15" s="703">
        <v>603.73054480649819</v>
      </c>
      <c r="JP15" s="704">
        <v>1342.6853961306167</v>
      </c>
      <c r="JQ15" s="704">
        <v>22.844037051606911</v>
      </c>
      <c r="JR15" s="173">
        <v>35.152925846136192</v>
      </c>
      <c r="JS15" s="1137">
        <v>625.52909914709403</v>
      </c>
      <c r="JT15" s="1138">
        <v>1466.7644851751029</v>
      </c>
      <c r="JU15" s="1138">
        <v>33.400101149697001</v>
      </c>
      <c r="JV15" s="1139">
        <v>23.213791375632699</v>
      </c>
      <c r="JW15" s="432"/>
      <c r="JX15" s="169" t="s">
        <v>537</v>
      </c>
      <c r="JY15" s="703">
        <v>683.44111518485602</v>
      </c>
      <c r="JZ15" s="704">
        <v>685.12069591019997</v>
      </c>
      <c r="KA15" s="704">
        <v>305.09073455758602</v>
      </c>
      <c r="KB15" s="173">
        <v>475.25493119488902</v>
      </c>
      <c r="KC15" s="603"/>
      <c r="KD15" s="169" t="s">
        <v>537</v>
      </c>
      <c r="KE15" s="703">
        <v>216.40298064506899</v>
      </c>
      <c r="KF15" s="704">
        <v>223.274546278054</v>
      </c>
      <c r="KG15" s="704">
        <v>403.13837447604601</v>
      </c>
      <c r="KH15" s="704">
        <v>548.26961257628795</v>
      </c>
      <c r="KI15" s="704">
        <v>437.88326029027701</v>
      </c>
      <c r="KJ15" s="173">
        <v>40.664050730600103</v>
      </c>
      <c r="KK15" s="703">
        <v>138.63079139151799</v>
      </c>
      <c r="KL15" s="704">
        <v>30.3035255995798</v>
      </c>
      <c r="KM15" s="704">
        <v>55.2320977652751</v>
      </c>
      <c r="KN15" s="704">
        <v>6.9751040552923804</v>
      </c>
      <c r="KO15" s="704">
        <v>6.54309568528324</v>
      </c>
      <c r="KP15" s="173">
        <v>4.30633322152869</v>
      </c>
      <c r="KQ15" s="703">
        <v>355.033772036588</v>
      </c>
      <c r="KR15" s="704">
        <v>262.57808101609902</v>
      </c>
      <c r="KS15" s="704">
        <v>458.37047224132101</v>
      </c>
      <c r="KT15" s="704">
        <v>556.25417085620302</v>
      </c>
      <c r="KU15" s="704">
        <v>451.41026905617701</v>
      </c>
      <c r="KV15" s="173">
        <v>44.970383952128699</v>
      </c>
      <c r="KW15" s="429"/>
      <c r="KX15" s="169" t="s">
        <v>537</v>
      </c>
      <c r="KY15" s="172">
        <f t="shared" si="19"/>
        <v>776.27343699999983</v>
      </c>
      <c r="KZ15" s="337">
        <v>1078.1384290000001</v>
      </c>
      <c r="LA15" s="173">
        <v>230.01022</v>
      </c>
      <c r="LB15" s="172">
        <f t="shared" si="3"/>
        <v>847.13728017625249</v>
      </c>
      <c r="LC15" s="704">
        <v>917.27893563295038</v>
      </c>
      <c r="LD15" s="173">
        <v>239.9966880256552</v>
      </c>
      <c r="LE15" s="172">
        <f t="shared" si="4"/>
        <v>907.67372040894088</v>
      </c>
      <c r="LF15" s="1138">
        <v>994.30041731482299</v>
      </c>
      <c r="LG15" s="1139">
        <v>246.93333912376599</v>
      </c>
      <c r="LH15" s="128"/>
      <c r="LI15" s="169" t="s">
        <v>537</v>
      </c>
      <c r="LJ15" s="703">
        <v>1500.7194810000001</v>
      </c>
      <c r="LK15" s="704">
        <v>1317.8832600000001</v>
      </c>
      <c r="LL15" s="704">
        <v>182.83622099999999</v>
      </c>
      <c r="LM15" s="704">
        <v>752.72170400000005</v>
      </c>
      <c r="LN15" s="704">
        <v>83.621748999999994</v>
      </c>
      <c r="LO15" s="173">
        <v>165.68304699999999</v>
      </c>
      <c r="LP15" s="703">
        <v>1514.8377965550769</v>
      </c>
      <c r="LQ15" s="704">
        <v>1262.3077905719226</v>
      </c>
      <c r="LR15" s="704">
        <v>252.53000598315427</v>
      </c>
      <c r="LS15" s="704">
        <v>658.07992313682735</v>
      </c>
      <c r="LT15" s="704">
        <v>94.193795428716044</v>
      </c>
      <c r="LU15" s="173">
        <v>124.06075005812436</v>
      </c>
      <c r="LV15" s="1137">
        <v>1594.30357403424</v>
      </c>
      <c r="LW15" s="1138">
        <v>1387.21175220999</v>
      </c>
      <c r="LX15" s="1138">
        <v>207.091821824254</v>
      </c>
      <c r="LY15" s="1138">
        <v>736.35652023472301</v>
      </c>
      <c r="LZ15" s="1138">
        <v>33.046424698878099</v>
      </c>
      <c r="MA15" s="1139">
        <v>92.929881697637995</v>
      </c>
      <c r="MC15" s="169" t="s">
        <v>537</v>
      </c>
      <c r="MD15" s="703">
        <v>3.8182179999999999</v>
      </c>
      <c r="ME15" s="704">
        <v>87.132155999999995</v>
      </c>
      <c r="MF15" s="704">
        <v>477.98710399999999</v>
      </c>
      <c r="MG15" s="704">
        <v>385.07644800000003</v>
      </c>
      <c r="MH15" s="704">
        <v>268.53780899999998</v>
      </c>
      <c r="MI15" s="173">
        <v>95.331526999999994</v>
      </c>
      <c r="MJ15" s="703">
        <v>0</v>
      </c>
      <c r="MK15" s="704">
        <v>93.547137846204564</v>
      </c>
      <c r="ML15" s="704">
        <v>569.59446333235508</v>
      </c>
      <c r="MM15" s="704">
        <v>304.63664561194912</v>
      </c>
      <c r="MN15" s="704">
        <v>262.51404150955665</v>
      </c>
      <c r="MO15" s="173">
        <v>32.015502271857187</v>
      </c>
      <c r="MP15" s="1137">
        <v>0</v>
      </c>
      <c r="MQ15" s="1138">
        <v>78.957141676221397</v>
      </c>
      <c r="MR15" s="1138">
        <v>621.30136772995604</v>
      </c>
      <c r="MS15" s="1138">
        <v>351.57268433867802</v>
      </c>
      <c r="MT15" s="1138">
        <v>248.799867328842</v>
      </c>
      <c r="MU15" s="1139">
        <v>86.580691136288607</v>
      </c>
      <c r="MW15" s="169" t="s">
        <v>537</v>
      </c>
      <c r="MX15" s="172">
        <v>1333.19533</v>
      </c>
      <c r="MY15" s="337">
        <v>1132.6642509999999</v>
      </c>
      <c r="MZ15" s="337">
        <v>200.53107800000001</v>
      </c>
      <c r="NA15" s="703">
        <v>1277.0169533919766</v>
      </c>
      <c r="NB15" s="704">
        <v>1064.4447250233156</v>
      </c>
      <c r="NC15" s="173">
        <v>212.57222836866083</v>
      </c>
      <c r="ND15" s="1137">
        <v>1423.8322722394801</v>
      </c>
      <c r="NE15" s="1138">
        <v>1161.34196740175</v>
      </c>
      <c r="NF15" s="1139">
        <v>262.49030483773402</v>
      </c>
      <c r="NH15" s="169" t="s">
        <v>537</v>
      </c>
      <c r="NI15" s="703">
        <v>753.8716901184913</v>
      </c>
      <c r="NJ15" s="173">
        <v>310.57303490482451</v>
      </c>
      <c r="NK15" s="703">
        <v>97.275886525969483</v>
      </c>
      <c r="NL15" s="704">
        <v>110.85154550088694</v>
      </c>
      <c r="NM15" s="173">
        <v>4.4447963418043903</v>
      </c>
      <c r="NN15" s="1137">
        <v>839.63392543084205</v>
      </c>
      <c r="NO15" s="1139">
        <v>321.70804197090399</v>
      </c>
      <c r="NP15" s="1137">
        <v>178.04985833962101</v>
      </c>
      <c r="NQ15" s="1138">
        <v>80.161223938030602</v>
      </c>
      <c r="NR15" s="1139">
        <v>4.2792225600829701</v>
      </c>
      <c r="NS15" s="136"/>
      <c r="NT15" s="169" t="s">
        <v>537</v>
      </c>
      <c r="NU15" s="703">
        <v>186.11776953323505</v>
      </c>
      <c r="NV15" s="704">
        <v>4.3385440892815099</v>
      </c>
      <c r="NW15" s="704">
        <v>6.74184398906519</v>
      </c>
      <c r="NX15" s="173">
        <v>113.37487729324276</v>
      </c>
      <c r="NY15" s="1137">
        <v>190.19561100935499</v>
      </c>
      <c r="NZ15" s="1138">
        <v>6.44442195992601</v>
      </c>
      <c r="OA15" s="1138">
        <v>0</v>
      </c>
      <c r="OB15" s="1139">
        <v>125.068009001623</v>
      </c>
      <c r="OC15" s="553"/>
      <c r="OD15" s="169" t="s">
        <v>537</v>
      </c>
      <c r="OE15" s="703">
        <v>66.105938076458898</v>
      </c>
      <c r="OF15" s="704">
        <v>118.288584662755</v>
      </c>
      <c r="OG15" s="704">
        <v>95.1787164080976</v>
      </c>
      <c r="OH15" s="704">
        <v>91.378077646872498</v>
      </c>
      <c r="OI15" s="704">
        <v>819.17670929316103</v>
      </c>
      <c r="OJ15" s="704">
        <v>70.133389253501207</v>
      </c>
      <c r="OK15" s="173">
        <v>31.2514766656045</v>
      </c>
      <c r="OL15" s="703">
        <v>78.384377695742103</v>
      </c>
      <c r="OM15" s="704">
        <v>121.72884893376001</v>
      </c>
      <c r="ON15" s="704">
        <v>98.737116993417999</v>
      </c>
      <c r="OO15" s="704">
        <v>91.378077646872498</v>
      </c>
      <c r="OP15" s="704">
        <v>953.81725654450099</v>
      </c>
      <c r="OQ15" s="704">
        <v>271.61581299085998</v>
      </c>
      <c r="OR15" s="173">
        <v>1731.7563238780001</v>
      </c>
      <c r="OT15" s="169" t="s">
        <v>537</v>
      </c>
      <c r="OU15" s="172">
        <v>372.73094300000002</v>
      </c>
      <c r="OV15" s="337">
        <v>285.92039</v>
      </c>
      <c r="OW15" s="337">
        <v>387.14811500000002</v>
      </c>
      <c r="OX15" s="173">
        <v>957.497434</v>
      </c>
      <c r="OY15" s="703">
        <v>330.81267552661842</v>
      </c>
      <c r="OZ15" s="704">
        <v>196.08652805607903</v>
      </c>
      <c r="PA15" s="704">
        <v>340.80647000297552</v>
      </c>
      <c r="PB15" s="173">
        <v>1084.0256666911048</v>
      </c>
      <c r="PC15" s="1137">
        <v>239.54571755441111</v>
      </c>
      <c r="PD15" s="1138">
        <v>234.25932847285199</v>
      </c>
      <c r="PE15" s="1138">
        <v>328.03171999698401</v>
      </c>
      <c r="PF15" s="1139">
        <v>1234.7910521768461</v>
      </c>
      <c r="PH15" s="169" t="s">
        <v>537</v>
      </c>
      <c r="PI15" s="703">
        <v>85.565336393992908</v>
      </c>
      <c r="PJ15" s="704">
        <v>129.61047188179299</v>
      </c>
      <c r="PK15" s="704">
        <v>122.861759337118</v>
      </c>
      <c r="PL15" s="173">
        <v>634.3052936363971</v>
      </c>
      <c r="PM15" s="703">
        <v>153.98038116041801</v>
      </c>
      <c r="PN15" s="704">
        <v>104.648856591059</v>
      </c>
      <c r="PO15" s="704">
        <v>205.16996065986601</v>
      </c>
      <c r="PP15" s="173">
        <v>600.48575854044907</v>
      </c>
      <c r="PQ15" s="65"/>
      <c r="PR15" s="169" t="s">
        <v>537</v>
      </c>
      <c r="PS15" s="1038">
        <v>63.529511306348802</v>
      </c>
      <c r="PT15" s="1039">
        <v>371.82880001353402</v>
      </c>
      <c r="PU15" s="1039">
        <v>148.982004589045</v>
      </c>
      <c r="PV15" s="1039">
        <v>9.2499296088748402</v>
      </c>
      <c r="PW15" s="1039">
        <v>427.81198534780901</v>
      </c>
      <c r="PX15" s="1040">
        <v>402.43004137386799</v>
      </c>
      <c r="PZ15" s="169" t="s">
        <v>537</v>
      </c>
      <c r="QA15" s="1038">
        <v>946.46713506361004</v>
      </c>
      <c r="QB15" s="1039">
        <v>477.36513717587098</v>
      </c>
      <c r="QC15" s="1039">
        <v>263.61438275865902</v>
      </c>
      <c r="QD15" s="1039">
        <v>73.678773917140404</v>
      </c>
      <c r="QE15" s="1039">
        <v>139.06252627544899</v>
      </c>
      <c r="QF15" s="1040">
        <v>1.00945422462225</v>
      </c>
    </row>
    <row r="16" spans="1:448" ht="13.5" customHeight="1">
      <c r="A16" s="591" t="s">
        <v>481</v>
      </c>
      <c r="B16" s="167" t="s">
        <v>538</v>
      </c>
      <c r="C16" s="1103">
        <v>2258.0304919999999</v>
      </c>
      <c r="D16" s="690">
        <v>2372.3438700389493</v>
      </c>
      <c r="E16" s="691">
        <v>2259.9660245175601</v>
      </c>
      <c r="F16" s="428"/>
      <c r="G16" s="169" t="s">
        <v>538</v>
      </c>
      <c r="H16" s="577">
        <f t="shared" si="5"/>
        <v>9.9260337921933672E-3</v>
      </c>
      <c r="I16" s="668">
        <f t="shared" si="6"/>
        <v>-9.6587836658708071E-3</v>
      </c>
      <c r="J16" s="612"/>
      <c r="K16" s="63"/>
      <c r="L16" s="167" t="s">
        <v>538</v>
      </c>
      <c r="M16" s="636">
        <v>23</v>
      </c>
      <c r="N16" s="637">
        <v>20</v>
      </c>
      <c r="O16" s="637">
        <v>15</v>
      </c>
      <c r="P16" s="637">
        <v>27</v>
      </c>
      <c r="Q16" s="637">
        <v>20</v>
      </c>
      <c r="R16" s="637">
        <v>19</v>
      </c>
      <c r="S16" s="637">
        <v>19</v>
      </c>
      <c r="T16" s="637">
        <v>19</v>
      </c>
      <c r="U16" s="1138">
        <v>20</v>
      </c>
      <c r="V16" s="1138">
        <v>16</v>
      </c>
      <c r="W16" s="1139">
        <v>24</v>
      </c>
      <c r="X16" s="169" t="s">
        <v>538</v>
      </c>
      <c r="Y16" s="666">
        <v>21.5</v>
      </c>
      <c r="Z16" s="667">
        <v>21</v>
      </c>
      <c r="AA16" s="667">
        <v>19.5</v>
      </c>
      <c r="AB16" s="667">
        <v>19</v>
      </c>
      <c r="AC16" s="667">
        <v>19</v>
      </c>
      <c r="AD16" s="668">
        <v>-2.3255813953488372E-2</v>
      </c>
      <c r="AE16" s="668">
        <v>-7.1428571428571425E-2</v>
      </c>
      <c r="AF16" s="668">
        <v>-2.564102564102564E-2</v>
      </c>
      <c r="AG16" s="1213">
        <v>-7.1428571428571425E-2</v>
      </c>
      <c r="AN16" s="169" t="s">
        <v>538</v>
      </c>
      <c r="AO16" s="636">
        <v>1.055626</v>
      </c>
      <c r="AP16" s="637">
        <v>44.007939</v>
      </c>
      <c r="AQ16" s="637">
        <v>226.703689</v>
      </c>
      <c r="AR16" s="637">
        <v>308.26379800000001</v>
      </c>
      <c r="AS16" s="637">
        <v>281.08227599999998</v>
      </c>
      <c r="AT16" s="637">
        <v>158.552739</v>
      </c>
      <c r="AU16" s="637">
        <v>388.73550499999999</v>
      </c>
      <c r="AV16" s="173">
        <v>624.90304900000001</v>
      </c>
      <c r="AW16" s="636">
        <v>0</v>
      </c>
      <c r="AX16" s="637">
        <v>66.384728282660191</v>
      </c>
      <c r="AY16" s="637">
        <v>308.91967267505527</v>
      </c>
      <c r="AZ16" s="637">
        <v>279.4257684950731</v>
      </c>
      <c r="BA16" s="637">
        <v>216.62280410872725</v>
      </c>
      <c r="BB16" s="637">
        <v>172.57961195959845</v>
      </c>
      <c r="BC16" s="637">
        <v>354.34084286656378</v>
      </c>
      <c r="BD16" s="173">
        <v>616.40878077467187</v>
      </c>
      <c r="BE16" s="1137">
        <v>0</v>
      </c>
      <c r="BF16" s="1138">
        <v>63.386205936154496</v>
      </c>
      <c r="BG16" s="1138">
        <v>306.686363459294</v>
      </c>
      <c r="BH16" s="1138">
        <v>267.50272885576902</v>
      </c>
      <c r="BI16" s="1138">
        <v>233.38030993908799</v>
      </c>
      <c r="BJ16" s="1138">
        <v>90.611952096823302</v>
      </c>
      <c r="BK16" s="1138">
        <v>421.592635375204</v>
      </c>
      <c r="BL16" s="1139">
        <v>592.49248231732201</v>
      </c>
      <c r="BN16" s="169" t="s">
        <v>538</v>
      </c>
      <c r="BO16" s="647">
        <v>221.725876</v>
      </c>
      <c r="BP16" s="648">
        <v>925.72017200000005</v>
      </c>
      <c r="BQ16" s="648">
        <v>399.15564699999999</v>
      </c>
      <c r="BR16" s="648">
        <v>324.61831599999999</v>
      </c>
      <c r="BS16" s="648">
        <v>196.384702</v>
      </c>
      <c r="BT16" s="173">
        <v>190.42577900000001</v>
      </c>
      <c r="BU16" s="647">
        <v>360.66165853206098</v>
      </c>
      <c r="BV16" s="648">
        <v>748.1630305504882</v>
      </c>
      <c r="BW16" s="648">
        <v>435.18442586216071</v>
      </c>
      <c r="BX16" s="648">
        <v>399.91556881490931</v>
      </c>
      <c r="BY16" s="648">
        <v>293.85281321189279</v>
      </c>
      <c r="BZ16" s="173">
        <v>134.56637306743727</v>
      </c>
      <c r="CA16" s="1137">
        <v>285.31334755329101</v>
      </c>
      <c r="CB16" s="1138">
        <v>788.50742189932998</v>
      </c>
      <c r="CC16" s="1138">
        <v>390.82056295067099</v>
      </c>
      <c r="CD16" s="1138">
        <v>312.094644042612</v>
      </c>
      <c r="CE16" s="1138">
        <v>277.733348097587</v>
      </c>
      <c r="CF16" s="1139">
        <v>205.49669997407099</v>
      </c>
      <c r="CG16" s="429"/>
      <c r="CH16" s="169" t="s">
        <v>538</v>
      </c>
      <c r="CI16" s="172">
        <v>461.334855</v>
      </c>
      <c r="CJ16" s="337">
        <v>1474.0177249999999</v>
      </c>
      <c r="CK16" s="337">
        <v>322.67791199999999</v>
      </c>
      <c r="CL16" s="647">
        <v>638.20869261924213</v>
      </c>
      <c r="CM16" s="648">
        <v>1448.714386462834</v>
      </c>
      <c r="CN16" s="648">
        <v>285.4207909568733</v>
      </c>
      <c r="CO16" s="1137">
        <v>578.75841605814105</v>
      </c>
      <c r="CP16" s="1138">
        <v>1296.5534515178099</v>
      </c>
      <c r="CQ16" s="1139">
        <v>384.65415694161402</v>
      </c>
      <c r="CR16" s="429"/>
      <c r="CS16" s="426"/>
      <c r="CT16" s="434"/>
      <c r="CU16" s="426"/>
      <c r="CV16" s="434"/>
      <c r="CW16" s="426"/>
      <c r="CX16" s="434"/>
      <c r="CY16" s="426"/>
      <c r="CZ16" s="434"/>
      <c r="DA16" s="426"/>
      <c r="DB16" s="434"/>
      <c r="DC16" s="426"/>
      <c r="DD16" s="434"/>
      <c r="DG16" s="169" t="s">
        <v>538</v>
      </c>
      <c r="DH16" s="1147" t="s">
        <v>732</v>
      </c>
      <c r="DI16" s="1150" t="s">
        <v>810</v>
      </c>
      <c r="DJ16" s="704" t="s">
        <v>811</v>
      </c>
      <c r="DK16" s="704" t="s">
        <v>812</v>
      </c>
      <c r="DL16" s="337" t="s">
        <v>813</v>
      </c>
      <c r="DM16" s="174" t="s">
        <v>804</v>
      </c>
      <c r="DN16" s="451"/>
      <c r="DO16" s="167" t="s">
        <v>538</v>
      </c>
      <c r="DP16" s="704">
        <v>1278.4109330000001</v>
      </c>
      <c r="DQ16" s="337">
        <v>1240.4479004043928</v>
      </c>
      <c r="DR16" s="1139">
        <v>1231.1618270670999</v>
      </c>
      <c r="DS16" s="63"/>
      <c r="DT16" s="169" t="s">
        <v>538</v>
      </c>
      <c r="DU16" s="172">
        <v>2131.030647</v>
      </c>
      <c r="DV16" s="337">
        <v>2251.3439646019897</v>
      </c>
      <c r="DW16" s="1139">
        <v>2133.96589657905</v>
      </c>
      <c r="DX16" s="63"/>
      <c r="DY16" s="169" t="s">
        <v>538</v>
      </c>
      <c r="DZ16" s="1089">
        <f t="shared" si="0"/>
        <v>1.6669371263895472</v>
      </c>
      <c r="EA16" s="787">
        <f t="shared" si="1"/>
        <v>1.8149443953817319</v>
      </c>
      <c r="EB16" s="776">
        <f t="shared" si="2"/>
        <v>1.7332943969377521</v>
      </c>
      <c r="EC16" s="55"/>
      <c r="ED16" s="541"/>
      <c r="EE16" s="169" t="s">
        <v>538</v>
      </c>
      <c r="EF16" s="735">
        <v>733.15872999999999</v>
      </c>
      <c r="EG16" s="736">
        <v>68.271064999999993</v>
      </c>
      <c r="EH16" s="736">
        <v>285.53040499999997</v>
      </c>
      <c r="EI16" s="736">
        <v>118.481436</v>
      </c>
      <c r="EJ16" s="736">
        <v>72.969296999999997</v>
      </c>
      <c r="EK16" s="703">
        <v>721.31838837895975</v>
      </c>
      <c r="EL16" s="704">
        <v>41.941588404359713</v>
      </c>
      <c r="EM16" s="704">
        <v>197.3786724389399</v>
      </c>
      <c r="EN16" s="704">
        <v>210.0450695034923</v>
      </c>
      <c r="EO16" s="704">
        <v>69.76418167864108</v>
      </c>
      <c r="EP16" s="1137">
        <v>686.14643705451795</v>
      </c>
      <c r="EQ16" s="1138">
        <v>56.027871386115201</v>
      </c>
      <c r="ER16" s="1138">
        <v>252.55206527681</v>
      </c>
      <c r="ES16" s="1138">
        <v>155.65062148829</v>
      </c>
      <c r="ET16" s="1139">
        <v>80.784831861369099</v>
      </c>
      <c r="EV16" s="169" t="s">
        <v>538</v>
      </c>
      <c r="EW16" s="703">
        <v>286.15742999999998</v>
      </c>
      <c r="EX16" s="704">
        <v>264.80279100000001</v>
      </c>
      <c r="EY16" s="704">
        <v>118.993178</v>
      </c>
      <c r="EZ16" s="704">
        <v>63.205331000000001</v>
      </c>
      <c r="FA16" s="703">
        <v>574.80442600000003</v>
      </c>
      <c r="FB16" s="704">
        <v>822.85787200000004</v>
      </c>
      <c r="FC16" s="704">
        <v>395.58533799999998</v>
      </c>
      <c r="FD16" s="704">
        <v>119.057132</v>
      </c>
      <c r="FE16" s="703">
        <v>192.91781747280635</v>
      </c>
      <c r="FF16" s="704">
        <v>284.76564330825357</v>
      </c>
      <c r="FG16" s="704">
        <v>186.74534793429396</v>
      </c>
      <c r="FH16" s="173">
        <v>56.8895796636059</v>
      </c>
      <c r="FI16" s="703">
        <v>465.77833367956708</v>
      </c>
      <c r="FJ16" s="704">
        <v>871.79075418151547</v>
      </c>
      <c r="FK16" s="746">
        <v>461.72686271367513</v>
      </c>
      <c r="FL16" s="747">
        <v>91.386355495171244</v>
      </c>
      <c r="FM16" s="1137">
        <v>231.74793654732201</v>
      </c>
      <c r="FN16" s="1138">
        <v>222.60557057418501</v>
      </c>
      <c r="FO16" s="1138">
        <v>169.301653618231</v>
      </c>
      <c r="FP16" s="1139">
        <v>62.491276314780499</v>
      </c>
      <c r="FQ16" s="1137">
        <v>499.992393174499</v>
      </c>
      <c r="FR16" s="1138">
        <v>789.60542066220398</v>
      </c>
      <c r="FS16" s="1138">
        <v>438.654387646972</v>
      </c>
      <c r="FT16" s="1139">
        <v>120.400347542082</v>
      </c>
      <c r="FV16" s="167" t="s">
        <v>538</v>
      </c>
      <c r="FW16" s="337">
        <v>303.640762</v>
      </c>
      <c r="FX16" s="337">
        <v>80.652197000000001</v>
      </c>
      <c r="FY16" s="337">
        <v>65.389187000000007</v>
      </c>
      <c r="FZ16" s="173">
        <v>27.298991999999998</v>
      </c>
      <c r="GA16" s="703">
        <v>219.12246399947773</v>
      </c>
      <c r="GB16" s="704">
        <v>103.01531842332255</v>
      </c>
      <c r="GC16" s="704">
        <v>98.5874808612582</v>
      </c>
      <c r="GD16" s="173">
        <v>56.462660337014796</v>
      </c>
      <c r="GE16" s="1137">
        <v>278.31417337239498</v>
      </c>
      <c r="GF16" s="1138">
        <v>95.805280065569903</v>
      </c>
      <c r="GG16" s="1138">
        <v>85.692386669376702</v>
      </c>
      <c r="GH16" s="1139">
        <v>29.175678519127842</v>
      </c>
      <c r="GJ16" s="169" t="s">
        <v>538</v>
      </c>
      <c r="GK16" s="703">
        <v>1421.998439</v>
      </c>
      <c r="GL16" s="704">
        <v>1421.4990305734159</v>
      </c>
      <c r="GM16" s="1139">
        <v>1483.0012501020101</v>
      </c>
      <c r="GO16" s="169" t="s">
        <v>538</v>
      </c>
      <c r="GP16" s="703">
        <v>1279.410932</v>
      </c>
      <c r="GQ16" s="704">
        <v>22.766721</v>
      </c>
      <c r="GR16" s="173">
        <v>119.820786</v>
      </c>
      <c r="GS16" s="703">
        <v>1240.4479004043928</v>
      </c>
      <c r="GT16" s="704">
        <v>12.656893360885508</v>
      </c>
      <c r="GU16" s="173">
        <v>168.39423680813778</v>
      </c>
      <c r="GV16" s="1137">
        <v>1231.1618270670999</v>
      </c>
      <c r="GW16" s="1138">
        <v>33.734942431033197</v>
      </c>
      <c r="GX16" s="1139">
        <v>218.10448060387</v>
      </c>
      <c r="GZ16" s="169" t="s">
        <v>538</v>
      </c>
      <c r="HA16" s="172">
        <v>267.445629</v>
      </c>
      <c r="HB16" s="337">
        <v>1151.3859319999999</v>
      </c>
      <c r="HC16" s="173">
        <f t="shared" si="7"/>
        <v>3.166877999999997</v>
      </c>
      <c r="HD16" s="703">
        <v>303.69747656887722</v>
      </c>
      <c r="HE16" s="704">
        <v>1109.8655331033119</v>
      </c>
      <c r="HF16" s="173">
        <f t="shared" si="8"/>
        <v>7.9360209012268115</v>
      </c>
      <c r="HG16" s="583">
        <v>276.22886572436897</v>
      </c>
      <c r="HH16" s="1138">
        <v>1198.60219570354</v>
      </c>
      <c r="HI16" s="173">
        <f t="shared" si="9"/>
        <v>8.1701886741011549</v>
      </c>
      <c r="HK16" s="169" t="s">
        <v>538</v>
      </c>
      <c r="HL16" s="704">
        <v>1279.410932</v>
      </c>
      <c r="HM16" s="704">
        <v>3667.911728</v>
      </c>
      <c r="HN16" s="776">
        <f t="shared" si="10"/>
        <v>2.8668754004362378</v>
      </c>
      <c r="HO16" s="703">
        <v>1240.4479004043928</v>
      </c>
      <c r="HP16" s="704">
        <v>3857.069597272859</v>
      </c>
      <c r="HQ16" s="776">
        <f t="shared" si="11"/>
        <v>3.1094168453309754</v>
      </c>
      <c r="HR16" s="1138">
        <v>1231.1618270670999</v>
      </c>
      <c r="HS16" s="1138">
        <v>4033.4383820922299</v>
      </c>
      <c r="HT16" s="784">
        <f t="shared" si="12"/>
        <v>3.2761236528107545</v>
      </c>
      <c r="HV16" s="169" t="s">
        <v>538</v>
      </c>
      <c r="HW16" s="172">
        <v>248.12922900000001</v>
      </c>
      <c r="HX16" s="337">
        <v>1246.728531</v>
      </c>
      <c r="HY16" s="787">
        <f t="shared" si="13"/>
        <v>5.0245129766634626</v>
      </c>
      <c r="HZ16" s="704">
        <v>1028.1148250000001</v>
      </c>
      <c r="IA16" s="704">
        <v>2409.5713110000002</v>
      </c>
      <c r="IB16" s="787">
        <f t="shared" si="14"/>
        <v>2.3436791809708608</v>
      </c>
      <c r="IC16" s="703">
        <v>263.89268475086141</v>
      </c>
      <c r="ID16" s="704">
        <v>1421.3625019126623</v>
      </c>
      <c r="IE16" s="787">
        <f t="shared" si="15"/>
        <v>5.3861383207895939</v>
      </c>
      <c r="IF16" s="704">
        <v>968.61919475230445</v>
      </c>
      <c r="IG16" s="704">
        <v>2425.4661329729761</v>
      </c>
      <c r="IH16" s="776">
        <f t="shared" si="16"/>
        <v>2.5040450840881974</v>
      </c>
      <c r="II16" s="1137">
        <v>244.646203728351</v>
      </c>
      <c r="IJ16" s="1138">
        <v>1331.98626335722</v>
      </c>
      <c r="IK16" s="1170">
        <f t="shared" si="17"/>
        <v>5.4445409046127038</v>
      </c>
      <c r="IL16" s="1138">
        <v>981.90651079462396</v>
      </c>
      <c r="IM16" s="1138">
        <v>2694.7469405943002</v>
      </c>
      <c r="IN16" s="1171">
        <f t="shared" si="18"/>
        <v>2.7444027623500857</v>
      </c>
      <c r="IP16" s="169" t="s">
        <v>538</v>
      </c>
      <c r="IQ16" s="703">
        <v>351.31567899999999</v>
      </c>
      <c r="IR16" s="704">
        <v>247.409435</v>
      </c>
      <c r="IS16" s="704">
        <v>257.768102</v>
      </c>
      <c r="IT16" s="704">
        <v>216.58122599999999</v>
      </c>
      <c r="IU16" s="704">
        <v>206.33649</v>
      </c>
      <c r="IV16" s="704">
        <v>3667.911728</v>
      </c>
      <c r="IW16" s="703">
        <v>255.29301324704889</v>
      </c>
      <c r="IX16" s="704">
        <v>258.5350511994958</v>
      </c>
      <c r="IY16" s="704">
        <v>311.35176800212918</v>
      </c>
      <c r="IZ16" s="704">
        <v>183.0483285879923</v>
      </c>
      <c r="JA16" s="704">
        <v>232.21973936772653</v>
      </c>
      <c r="JB16" s="173">
        <v>3857.069597272859</v>
      </c>
      <c r="JC16" s="1137">
        <v>133.567676060482</v>
      </c>
      <c r="JD16" s="1138">
        <v>302.34667988490702</v>
      </c>
      <c r="JE16" s="1138">
        <v>364.572454392672</v>
      </c>
      <c r="JF16" s="1138">
        <v>186.31945943196499</v>
      </c>
      <c r="JG16" s="1138">
        <v>244.35555729707599</v>
      </c>
      <c r="JH16" s="1139">
        <v>4033.4383820922299</v>
      </c>
      <c r="JJ16" s="169" t="s">
        <v>538</v>
      </c>
      <c r="JK16" s="172">
        <v>411.36134900000002</v>
      </c>
      <c r="JL16" s="337">
        <v>765.88360599999999</v>
      </c>
      <c r="JM16" s="337">
        <v>88.315504000000004</v>
      </c>
      <c r="JN16" s="173">
        <v>13.850472</v>
      </c>
      <c r="JO16" s="703">
        <v>444.57372752788098</v>
      </c>
      <c r="JP16" s="704">
        <v>561.34689598114107</v>
      </c>
      <c r="JQ16" s="704">
        <v>219.15129748996932</v>
      </c>
      <c r="JR16" s="173">
        <v>15.37597940540126</v>
      </c>
      <c r="JS16" s="1137">
        <v>457.88182454066799</v>
      </c>
      <c r="JT16" s="1138">
        <v>663.24513729781245</v>
      </c>
      <c r="JU16" s="1138">
        <v>91.231530854114595</v>
      </c>
      <c r="JV16" s="1139">
        <v>18.803334374506701</v>
      </c>
      <c r="JW16" s="432"/>
      <c r="JX16" s="169" t="s">
        <v>538</v>
      </c>
      <c r="JY16" s="703">
        <v>275.404646337391</v>
      </c>
      <c r="JZ16" s="704">
        <v>397.82540169055397</v>
      </c>
      <c r="KA16" s="704">
        <v>160.80003198664701</v>
      </c>
      <c r="KB16" s="173">
        <v>397.13174705250998</v>
      </c>
      <c r="KC16" s="603"/>
      <c r="KD16" s="169" t="s">
        <v>538</v>
      </c>
      <c r="KE16" s="703">
        <v>36.035664263660003</v>
      </c>
      <c r="KF16" s="704">
        <v>190.43572921967899</v>
      </c>
      <c r="KG16" s="704">
        <v>456.77733580114301</v>
      </c>
      <c r="KH16" s="704">
        <v>170.66243404330001</v>
      </c>
      <c r="KI16" s="704">
        <v>97.791663616824593</v>
      </c>
      <c r="KJ16" s="173">
        <v>19.520444612514702</v>
      </c>
      <c r="KK16" s="703">
        <v>50.286264505695499</v>
      </c>
      <c r="KL16" s="704">
        <v>79.334032165478405</v>
      </c>
      <c r="KM16" s="704">
        <v>89.339347985563194</v>
      </c>
      <c r="KN16" s="704">
        <v>3.5610797458344701</v>
      </c>
      <c r="KO16" s="704">
        <v>21.1152650715213</v>
      </c>
      <c r="KP16" s="173">
        <v>0</v>
      </c>
      <c r="KQ16" s="703">
        <v>86.321928769355395</v>
      </c>
      <c r="KR16" s="704">
        <v>269.76976138515698</v>
      </c>
      <c r="KS16" s="704">
        <v>550.72579633083399</v>
      </c>
      <c r="KT16" s="704">
        <v>174.22351378913399</v>
      </c>
      <c r="KU16" s="704">
        <v>118.906928688346</v>
      </c>
      <c r="KV16" s="173">
        <v>19.520444612514702</v>
      </c>
      <c r="KW16" s="429"/>
      <c r="KX16" s="169" t="s">
        <v>538</v>
      </c>
      <c r="KY16" s="172">
        <f t="shared" si="19"/>
        <v>448.78978900000016</v>
      </c>
      <c r="KZ16" s="337">
        <v>698.92789900000002</v>
      </c>
      <c r="LA16" s="173">
        <v>130.69324499999999</v>
      </c>
      <c r="LB16" s="172">
        <f t="shared" si="3"/>
        <v>504.01226726993514</v>
      </c>
      <c r="LC16" s="704">
        <v>577.96573665662561</v>
      </c>
      <c r="LD16" s="173">
        <v>158.46989647783215</v>
      </c>
      <c r="LE16" s="172">
        <f t="shared" si="4"/>
        <v>441.68750980842492</v>
      </c>
      <c r="LF16" s="1138">
        <v>639.17808725564601</v>
      </c>
      <c r="LG16" s="1139">
        <v>150.296230003029</v>
      </c>
      <c r="LH16" s="426"/>
      <c r="LI16" s="169" t="s">
        <v>538</v>
      </c>
      <c r="LJ16" s="703">
        <v>1031.676424</v>
      </c>
      <c r="LK16" s="704">
        <v>896.60354900000004</v>
      </c>
      <c r="LL16" s="704">
        <v>135.07287600000001</v>
      </c>
      <c r="LM16" s="704">
        <v>531.25770699999998</v>
      </c>
      <c r="LN16" s="704">
        <v>80.483052999999998</v>
      </c>
      <c r="LO16" s="173">
        <v>70.209519999999998</v>
      </c>
      <c r="LP16" s="703">
        <v>1055.8535603233272</v>
      </c>
      <c r="LQ16" s="704">
        <v>830.47754865468926</v>
      </c>
      <c r="LR16" s="704">
        <v>225.37601166863797</v>
      </c>
      <c r="LS16" s="704">
        <v>415.38054517180871</v>
      </c>
      <c r="LT16" s="704">
        <v>105.68736932746891</v>
      </c>
      <c r="LU16" s="173">
        <v>149.33994572741014</v>
      </c>
      <c r="LV16" s="1137">
        <v>988.75484489942596</v>
      </c>
      <c r="LW16" s="1138">
        <v>843.16474460847905</v>
      </c>
      <c r="LX16" s="1138">
        <v>145.59010029094699</v>
      </c>
      <c r="LY16" s="1138">
        <v>448.06184802614399</v>
      </c>
      <c r="LZ16" s="1138">
        <v>62.065240378900697</v>
      </c>
      <c r="MA16" s="1139">
        <v>91.116586718184706</v>
      </c>
      <c r="MC16" s="169" t="s">
        <v>538</v>
      </c>
      <c r="MD16" s="703">
        <v>1.055626</v>
      </c>
      <c r="ME16" s="704">
        <v>39.785435</v>
      </c>
      <c r="MF16" s="704">
        <v>216.91526400000001</v>
      </c>
      <c r="MG16" s="704">
        <v>274.75319500000001</v>
      </c>
      <c r="MH16" s="704">
        <v>242.67486099999999</v>
      </c>
      <c r="MI16" s="173">
        <v>122.419166</v>
      </c>
      <c r="MJ16" s="703">
        <v>0</v>
      </c>
      <c r="MK16" s="704">
        <v>58.63228738334783</v>
      </c>
      <c r="ML16" s="704">
        <v>282.42185431761857</v>
      </c>
      <c r="MM16" s="704">
        <v>228.43090227498183</v>
      </c>
      <c r="MN16" s="704">
        <v>168.73240459682515</v>
      </c>
      <c r="MO16" s="173">
        <v>95.260097737377663</v>
      </c>
      <c r="MP16" s="1137">
        <v>0</v>
      </c>
      <c r="MQ16" s="1138">
        <v>56.538838388200503</v>
      </c>
      <c r="MR16" s="1138">
        <v>281.87459133878798</v>
      </c>
      <c r="MS16" s="1138">
        <v>239.08358082570399</v>
      </c>
      <c r="MT16" s="1138">
        <v>189.93382954414801</v>
      </c>
      <c r="MU16" s="1139">
        <v>72.733901465483399</v>
      </c>
      <c r="MW16" s="169" t="s">
        <v>538</v>
      </c>
      <c r="MX16" s="172">
        <v>897.659175</v>
      </c>
      <c r="MY16" s="337">
        <v>784.47927500000003</v>
      </c>
      <c r="MZ16" s="337">
        <v>113.17989900000001</v>
      </c>
      <c r="NA16" s="703">
        <v>839.27927361838169</v>
      </c>
      <c r="NB16" s="704">
        <v>735.20686470167641</v>
      </c>
      <c r="NC16" s="173">
        <v>104.07240891670529</v>
      </c>
      <c r="ND16" s="1137">
        <v>853.43138810154005</v>
      </c>
      <c r="NE16" s="1138">
        <v>727.140851589612</v>
      </c>
      <c r="NF16" s="1139">
        <v>126.290536511928</v>
      </c>
      <c r="NH16" s="169" t="s">
        <v>538</v>
      </c>
      <c r="NI16" s="703">
        <v>587.51466001248878</v>
      </c>
      <c r="NJ16" s="173">
        <v>147.69220468918763</v>
      </c>
      <c r="NK16" s="703">
        <v>52.731654804560691</v>
      </c>
      <c r="NL16" s="704">
        <v>51.340754112144602</v>
      </c>
      <c r="NM16" s="173">
        <v>0</v>
      </c>
      <c r="NN16" s="1137">
        <v>561.49676225393398</v>
      </c>
      <c r="NO16" s="1139">
        <v>165.64408933567813</v>
      </c>
      <c r="NP16" s="1137">
        <v>87.380317000428406</v>
      </c>
      <c r="NQ16" s="1138">
        <v>38.910219511499598</v>
      </c>
      <c r="NR16" s="1139">
        <v>0</v>
      </c>
      <c r="NS16" s="136"/>
      <c r="NT16" s="169" t="s">
        <v>538</v>
      </c>
      <c r="NU16" s="703">
        <v>80.775594735126859</v>
      </c>
      <c r="NV16" s="704">
        <v>29.457448016787371</v>
      </c>
      <c r="NW16" s="704">
        <v>12.259137192683561</v>
      </c>
      <c r="NX16" s="173">
        <v>25.200024744589868</v>
      </c>
      <c r="NY16" s="1137">
        <v>117.172770575567</v>
      </c>
      <c r="NZ16" s="1138">
        <v>7.51534357246297</v>
      </c>
      <c r="OA16" s="1138">
        <v>7.6202227960194797</v>
      </c>
      <c r="OB16" s="1139">
        <v>33.335752391628702</v>
      </c>
      <c r="OC16" s="553"/>
      <c r="OD16" s="169" t="s">
        <v>538</v>
      </c>
      <c r="OE16" s="703">
        <v>59.144587226370803</v>
      </c>
      <c r="OF16" s="704">
        <v>71.709418878492698</v>
      </c>
      <c r="OG16" s="704">
        <v>77.203777006817802</v>
      </c>
      <c r="OH16" s="704">
        <v>55.058147592695001</v>
      </c>
      <c r="OI16" s="704">
        <v>482.79787363872799</v>
      </c>
      <c r="OJ16" s="704">
        <v>55.613329301250701</v>
      </c>
      <c r="OK16" s="173">
        <v>29.106768632675699</v>
      </c>
      <c r="OL16" s="703">
        <v>88.932685028135595</v>
      </c>
      <c r="OM16" s="704">
        <v>71.709418878492698</v>
      </c>
      <c r="ON16" s="704">
        <v>80.6466314921541</v>
      </c>
      <c r="OO16" s="704">
        <v>55.058147592695001</v>
      </c>
      <c r="OP16" s="704">
        <v>542.93434508953601</v>
      </c>
      <c r="OQ16" s="704">
        <v>190.514929217099</v>
      </c>
      <c r="OR16" s="173">
        <v>1186.1452550649401</v>
      </c>
      <c r="OT16" s="169" t="s">
        <v>538</v>
      </c>
      <c r="OU16" s="172">
        <v>301.00590399999999</v>
      </c>
      <c r="OV16" s="337">
        <v>242.20987500000001</v>
      </c>
      <c r="OW16" s="337">
        <v>255.16165799999999</v>
      </c>
      <c r="OX16" s="173">
        <v>528.89900699999998</v>
      </c>
      <c r="OY16" s="703">
        <v>320.3839162787396</v>
      </c>
      <c r="OZ16" s="704">
        <v>225.24441746536897</v>
      </c>
      <c r="PA16" s="704">
        <v>286.8770118873</v>
      </c>
      <c r="PB16" s="173">
        <v>630.81315175232589</v>
      </c>
      <c r="PC16" s="1137">
        <v>220.12069109633637</v>
      </c>
      <c r="PD16" s="1138">
        <v>141.93832402337199</v>
      </c>
      <c r="PE16" s="1138">
        <v>272.06739669538598</v>
      </c>
      <c r="PF16" s="1139">
        <v>717.95014598382602</v>
      </c>
      <c r="PH16" s="169" t="s">
        <v>538</v>
      </c>
      <c r="PI16" s="703">
        <v>76.852705724818605</v>
      </c>
      <c r="PJ16" s="704">
        <v>73.757041073730903</v>
      </c>
      <c r="PK16" s="704">
        <v>106.52713978787401</v>
      </c>
      <c r="PL16" s="173">
        <v>323.82542953965901</v>
      </c>
      <c r="PM16" s="703">
        <v>143.26798537151871</v>
      </c>
      <c r="PN16" s="704">
        <v>68.181282949640604</v>
      </c>
      <c r="PO16" s="704">
        <v>165.540256907512</v>
      </c>
      <c r="PP16" s="173">
        <v>394.12471644416701</v>
      </c>
      <c r="PQ16" s="65"/>
      <c r="PR16" s="169" t="s">
        <v>538</v>
      </c>
      <c r="PS16" s="1038">
        <v>34.3037771778557</v>
      </c>
      <c r="PT16" s="1039">
        <v>151.47067445942699</v>
      </c>
      <c r="PU16" s="1039">
        <v>102.386672524997</v>
      </c>
      <c r="PV16" s="1039">
        <v>5.1910876622879796</v>
      </c>
      <c r="PW16" s="1039">
        <v>320.08949126003898</v>
      </c>
      <c r="PX16" s="1040">
        <v>236.98968197077801</v>
      </c>
      <c r="PZ16" s="169" t="s">
        <v>538</v>
      </c>
      <c r="QA16" s="1038">
        <v>553.646008931079</v>
      </c>
      <c r="QB16" s="1039">
        <v>299.78537917045998</v>
      </c>
      <c r="QC16" s="1039">
        <v>215.30605843959299</v>
      </c>
      <c r="QD16" s="1039">
        <v>33.0232805268408</v>
      </c>
      <c r="QE16" s="1039">
        <v>51.456040204027097</v>
      </c>
      <c r="QF16" s="1040">
        <v>0</v>
      </c>
    </row>
    <row r="17" spans="1:448" ht="13.2" customHeight="1">
      <c r="A17" s="591" t="s">
        <v>482</v>
      </c>
      <c r="B17" s="167" t="s">
        <v>539</v>
      </c>
      <c r="C17" s="1103">
        <v>2809.247417</v>
      </c>
      <c r="D17" s="690">
        <v>2448.7544357435063</v>
      </c>
      <c r="E17" s="691">
        <v>2397.4999038815199</v>
      </c>
      <c r="F17" s="428"/>
      <c r="G17" s="169" t="s">
        <v>539</v>
      </c>
      <c r="H17" s="577">
        <f t="shared" si="5"/>
        <v>-2.709362507763835E-2</v>
      </c>
      <c r="I17" s="668">
        <f t="shared" si="6"/>
        <v>-4.2216664109873125E-3</v>
      </c>
      <c r="J17" s="612"/>
      <c r="K17" s="63"/>
      <c r="L17" s="167" t="s">
        <v>539</v>
      </c>
      <c r="M17" s="636">
        <v>20</v>
      </c>
      <c r="N17" s="637">
        <v>21</v>
      </c>
      <c r="O17" s="637">
        <v>22</v>
      </c>
      <c r="P17" s="637">
        <v>20</v>
      </c>
      <c r="Q17" s="637">
        <v>22</v>
      </c>
      <c r="R17" s="637">
        <v>25</v>
      </c>
      <c r="S17" s="637">
        <v>21</v>
      </c>
      <c r="T17" s="637">
        <v>31</v>
      </c>
      <c r="U17" s="1138">
        <v>29</v>
      </c>
      <c r="V17" s="1138">
        <v>14</v>
      </c>
      <c r="W17" s="1139">
        <v>24</v>
      </c>
      <c r="X17" s="169" t="s">
        <v>539</v>
      </c>
      <c r="Y17" s="666">
        <v>20.5</v>
      </c>
      <c r="Z17" s="667">
        <v>21</v>
      </c>
      <c r="AA17" s="667">
        <v>23.5</v>
      </c>
      <c r="AB17" s="667">
        <v>26</v>
      </c>
      <c r="AC17" s="667">
        <v>26</v>
      </c>
      <c r="AD17" s="668">
        <v>2.4390243902439025E-2</v>
      </c>
      <c r="AE17" s="668">
        <v>0.11904761904761904</v>
      </c>
      <c r="AF17" s="668">
        <v>0.10638297872340426</v>
      </c>
      <c r="AG17" s="1213">
        <v>0.11904761904761904</v>
      </c>
      <c r="AN17" s="169" t="s">
        <v>539</v>
      </c>
      <c r="AO17" s="636">
        <v>0</v>
      </c>
      <c r="AP17" s="637">
        <v>67.560215999999997</v>
      </c>
      <c r="AQ17" s="637">
        <v>481.889634</v>
      </c>
      <c r="AR17" s="637">
        <v>381.91905500000001</v>
      </c>
      <c r="AS17" s="637">
        <v>287.03407700000002</v>
      </c>
      <c r="AT17" s="637">
        <v>127.35424999999999</v>
      </c>
      <c r="AU17" s="637">
        <v>592.54748500000005</v>
      </c>
      <c r="AV17" s="173">
        <v>491.21157399999998</v>
      </c>
      <c r="AW17" s="636">
        <v>0</v>
      </c>
      <c r="AX17" s="637">
        <v>51.516701709798532</v>
      </c>
      <c r="AY17" s="637">
        <v>440.08105485470708</v>
      </c>
      <c r="AZ17" s="637">
        <v>374.7421384604055</v>
      </c>
      <c r="BA17" s="637">
        <v>226.40523026133411</v>
      </c>
      <c r="BB17" s="637">
        <v>84.273826176934122</v>
      </c>
      <c r="BC17" s="637">
        <v>486.67624006311394</v>
      </c>
      <c r="BD17" s="173">
        <v>512.66053860508646</v>
      </c>
      <c r="BE17" s="1137">
        <v>0</v>
      </c>
      <c r="BF17" s="1138">
        <v>36.913785694339602</v>
      </c>
      <c r="BG17" s="1138">
        <v>503.00395940475698</v>
      </c>
      <c r="BH17" s="1138">
        <v>370.43824647350903</v>
      </c>
      <c r="BI17" s="1138">
        <v>211.95019164787499</v>
      </c>
      <c r="BJ17" s="1138">
        <v>71.351460580423307</v>
      </c>
      <c r="BK17" s="1138">
        <v>399.63505809951801</v>
      </c>
      <c r="BL17" s="1139">
        <v>536.92113565298996</v>
      </c>
      <c r="BN17" s="169" t="s">
        <v>539</v>
      </c>
      <c r="BO17" s="647">
        <v>379.73112800000001</v>
      </c>
      <c r="BP17" s="648">
        <v>871.39983199999995</v>
      </c>
      <c r="BQ17" s="648">
        <v>428.27817099999999</v>
      </c>
      <c r="BR17" s="648">
        <v>461.41128200000003</v>
      </c>
      <c r="BS17" s="648">
        <v>340.03278399999999</v>
      </c>
      <c r="BT17" s="173">
        <v>328.39422100000002</v>
      </c>
      <c r="BU17" s="647">
        <v>272.39870561212626</v>
      </c>
      <c r="BV17" s="648">
        <v>854.26032828256211</v>
      </c>
      <c r="BW17" s="648">
        <v>453.42373417811518</v>
      </c>
      <c r="BX17" s="648">
        <v>333.56758003242595</v>
      </c>
      <c r="BY17" s="648">
        <v>279.74976197131974</v>
      </c>
      <c r="BZ17" s="173">
        <v>255.35432566695675</v>
      </c>
      <c r="CA17" s="1137">
        <v>267.28606632811</v>
      </c>
      <c r="CB17" s="1138">
        <v>855.72890676851705</v>
      </c>
      <c r="CC17" s="1138">
        <v>471.84604234525602</v>
      </c>
      <c r="CD17" s="1138">
        <v>306.91529907729699</v>
      </c>
      <c r="CE17" s="1138">
        <v>301.07881964135697</v>
      </c>
      <c r="CF17" s="1139">
        <v>194.64476972098299</v>
      </c>
      <c r="CG17" s="429"/>
      <c r="CH17" s="169" t="s">
        <v>539</v>
      </c>
      <c r="CI17" s="172">
        <v>595.64754700000003</v>
      </c>
      <c r="CJ17" s="337">
        <v>1662.067859</v>
      </c>
      <c r="CK17" s="337">
        <v>551.53201100000001</v>
      </c>
      <c r="CL17" s="647">
        <v>544.52973397984749</v>
      </c>
      <c r="CM17" s="648">
        <v>1494.1665698460345</v>
      </c>
      <c r="CN17" s="648">
        <v>410.05813191762422</v>
      </c>
      <c r="CO17" s="1137">
        <v>578.53742656137604</v>
      </c>
      <c r="CP17" s="1138">
        <v>1457.2801334504099</v>
      </c>
      <c r="CQ17" s="1139">
        <v>361.68234386973597</v>
      </c>
      <c r="CR17" s="429"/>
      <c r="CT17" s="1240">
        <f>'Aides traitements'!$I$9</f>
        <v>2009</v>
      </c>
      <c r="CU17" s="1283"/>
      <c r="CV17" s="1283"/>
      <c r="CW17" s="1284"/>
      <c r="CX17" s="1240">
        <f>'Aides traitements'!$I$10</f>
        <v>2014</v>
      </c>
      <c r="CY17" s="1283"/>
      <c r="CZ17" s="1283"/>
      <c r="DA17" s="1284"/>
      <c r="DB17" s="1286">
        <f>'Aides traitements'!$I$11</f>
        <v>2020</v>
      </c>
      <c r="DC17" s="1326"/>
      <c r="DD17" s="1326"/>
      <c r="DE17" s="1287"/>
      <c r="DG17" s="169" t="s">
        <v>539</v>
      </c>
      <c r="DH17" s="1147" t="s">
        <v>733</v>
      </c>
      <c r="DI17" s="1150" t="s">
        <v>746</v>
      </c>
      <c r="DJ17" s="704" t="s">
        <v>814</v>
      </c>
      <c r="DK17" s="704" t="s">
        <v>815</v>
      </c>
      <c r="DL17" s="337" t="s">
        <v>816</v>
      </c>
      <c r="DM17" s="174" t="s">
        <v>790</v>
      </c>
      <c r="DN17" s="451"/>
      <c r="DO17" s="167" t="s">
        <v>539</v>
      </c>
      <c r="DP17" s="704">
        <v>1544.1263060000001</v>
      </c>
      <c r="DQ17" s="337">
        <v>1492.7831363306741</v>
      </c>
      <c r="DR17" s="1139">
        <v>1436.42876612944</v>
      </c>
      <c r="DS17" s="63"/>
      <c r="DT17" s="169" t="s">
        <v>539</v>
      </c>
      <c r="DU17" s="172">
        <v>2809.247417</v>
      </c>
      <c r="DV17" s="337">
        <v>2448.7544357435063</v>
      </c>
      <c r="DW17" s="1139">
        <v>2397.4999038815199</v>
      </c>
      <c r="DX17" s="63"/>
      <c r="DY17" s="169" t="s">
        <v>539</v>
      </c>
      <c r="DZ17" s="1089">
        <f t="shared" si="0"/>
        <v>1.8193119345769373</v>
      </c>
      <c r="EA17" s="787">
        <f t="shared" si="1"/>
        <v>1.6403952966421171</v>
      </c>
      <c r="EB17" s="776">
        <f t="shared" si="2"/>
        <v>1.6690698212218034</v>
      </c>
      <c r="EC17" s="55"/>
      <c r="ED17" s="541"/>
      <c r="EE17" s="169" t="s">
        <v>539</v>
      </c>
      <c r="EF17" s="735">
        <v>802.56176800000003</v>
      </c>
      <c r="EG17" s="736">
        <v>79.778087999999997</v>
      </c>
      <c r="EH17" s="736">
        <v>364.15214300000002</v>
      </c>
      <c r="EI17" s="736">
        <v>227.98569900000001</v>
      </c>
      <c r="EJ17" s="736">
        <v>69.648607999999996</v>
      </c>
      <c r="EK17" s="703">
        <v>858.56078303364006</v>
      </c>
      <c r="EL17" s="704">
        <v>45.625286082380917</v>
      </c>
      <c r="EM17" s="704">
        <v>349.96881058474713</v>
      </c>
      <c r="EN17" s="704">
        <v>146.74742288538511</v>
      </c>
      <c r="EO17" s="704">
        <v>91.880833744520615</v>
      </c>
      <c r="EP17" s="1137">
        <v>840.16478347052498</v>
      </c>
      <c r="EQ17" s="1138">
        <v>62.342059509168401</v>
      </c>
      <c r="ER17" s="1138">
        <v>298.712004290084</v>
      </c>
      <c r="ES17" s="1138">
        <v>180.398428509322</v>
      </c>
      <c r="ET17" s="1139">
        <v>54.811490350337799</v>
      </c>
      <c r="EV17" s="169" t="s">
        <v>539</v>
      </c>
      <c r="EW17" s="703">
        <v>230.20691500000001</v>
      </c>
      <c r="EX17" s="704">
        <v>251.96697900000001</v>
      </c>
      <c r="EY17" s="704">
        <v>208.15809200000001</v>
      </c>
      <c r="EZ17" s="704">
        <v>112.229782</v>
      </c>
      <c r="FA17" s="703">
        <v>593.18284800000004</v>
      </c>
      <c r="FB17" s="704">
        <v>1030.8957359999999</v>
      </c>
      <c r="FC17" s="704">
        <v>605.62451699999997</v>
      </c>
      <c r="FD17" s="704">
        <v>199.81318899999999</v>
      </c>
      <c r="FE17" s="703">
        <v>325.9575066208597</v>
      </c>
      <c r="FF17" s="704">
        <v>279.0011720842565</v>
      </c>
      <c r="FG17" s="704">
        <v>181.7117489185182</v>
      </c>
      <c r="FH17" s="173">
        <v>71.890355410005611</v>
      </c>
      <c r="FI17" s="703">
        <v>614.9842882895889</v>
      </c>
      <c r="FJ17" s="704">
        <v>908.3397870683915</v>
      </c>
      <c r="FK17" s="746">
        <v>509.22369141499126</v>
      </c>
      <c r="FL17" s="747">
        <v>143.80796335840827</v>
      </c>
      <c r="FM17" s="1137">
        <v>363.06447971869198</v>
      </c>
      <c r="FN17" s="1138">
        <v>277.14306098931399</v>
      </c>
      <c r="FO17" s="1138">
        <v>135.28906722236201</v>
      </c>
      <c r="FP17" s="1139">
        <v>61.265520746125098</v>
      </c>
      <c r="FQ17" s="1137">
        <v>646.90229909735297</v>
      </c>
      <c r="FR17" s="1138">
        <v>888.72848536599099</v>
      </c>
      <c r="FS17" s="1138">
        <v>466.56391024090902</v>
      </c>
      <c r="FT17" s="1139">
        <v>128.01914284915799</v>
      </c>
      <c r="FV17" s="167" t="s">
        <v>539</v>
      </c>
      <c r="FW17" s="337">
        <v>384.308491</v>
      </c>
      <c r="FX17" s="337">
        <v>103.10896</v>
      </c>
      <c r="FY17" s="337">
        <v>108.443839</v>
      </c>
      <c r="FZ17" s="173">
        <v>65.925161000000003</v>
      </c>
      <c r="GA17" s="703">
        <v>367.37649940674174</v>
      </c>
      <c r="GB17" s="704">
        <v>111.73976507276936</v>
      </c>
      <c r="GC17" s="704">
        <v>75.629446951087999</v>
      </c>
      <c r="GD17" s="173">
        <v>33.851355784053744</v>
      </c>
      <c r="GE17" s="1137">
        <v>322.23648873726103</v>
      </c>
      <c r="GF17" s="1138">
        <v>97.609945437067296</v>
      </c>
      <c r="GG17" s="1138">
        <v>58.485794723083899</v>
      </c>
      <c r="GH17" s="1139">
        <v>55.589694252331164</v>
      </c>
      <c r="GJ17" s="169" t="s">
        <v>539</v>
      </c>
      <c r="GK17" s="703">
        <v>1740.998116</v>
      </c>
      <c r="GL17" s="704">
        <v>1742.9988333700614</v>
      </c>
      <c r="GM17" s="1139">
        <v>1756.00145852677</v>
      </c>
      <c r="GO17" s="169" t="s">
        <v>539</v>
      </c>
      <c r="GP17" s="703">
        <v>1544.1263060000001</v>
      </c>
      <c r="GQ17" s="704">
        <v>47.114066999999999</v>
      </c>
      <c r="GR17" s="173">
        <v>149.757744</v>
      </c>
      <c r="GS17" s="703">
        <v>1492.7831363306741</v>
      </c>
      <c r="GT17" s="704">
        <v>39.375647891571511</v>
      </c>
      <c r="GU17" s="173">
        <v>210.84004914781619</v>
      </c>
      <c r="GV17" s="1137">
        <v>1436.42876612944</v>
      </c>
      <c r="GW17" s="1138">
        <v>80.413487616228807</v>
      </c>
      <c r="GX17" s="1139">
        <v>239.15920478110201</v>
      </c>
      <c r="GZ17" s="169" t="s">
        <v>539</v>
      </c>
      <c r="HA17" s="172">
        <v>482.82234799999998</v>
      </c>
      <c r="HB17" s="337">
        <v>1254.1987999999999</v>
      </c>
      <c r="HC17" s="173">
        <f t="shared" si="7"/>
        <v>3.9769680000001699</v>
      </c>
      <c r="HD17" s="703">
        <v>435.21214072723291</v>
      </c>
      <c r="HE17" s="704">
        <v>1301.6308708310719</v>
      </c>
      <c r="HF17" s="173">
        <f t="shared" si="8"/>
        <v>6.1558218117565957</v>
      </c>
      <c r="HG17" s="583">
        <v>421.73458721766201</v>
      </c>
      <c r="HH17" s="1138">
        <v>1324.0892487128201</v>
      </c>
      <c r="HI17" s="173">
        <f t="shared" si="9"/>
        <v>10.177622596287847</v>
      </c>
      <c r="HK17" s="169" t="s">
        <v>539</v>
      </c>
      <c r="HL17" s="704">
        <v>1544.1263060000001</v>
      </c>
      <c r="HM17" s="704">
        <v>5565.3862490000001</v>
      </c>
      <c r="HN17" s="776">
        <f t="shared" si="10"/>
        <v>3.6042299307865036</v>
      </c>
      <c r="HO17" s="703">
        <v>1492.7831363306741</v>
      </c>
      <c r="HP17" s="704">
        <v>4772.4508845711816</v>
      </c>
      <c r="HQ17" s="776">
        <f t="shared" si="11"/>
        <v>3.1970155399143065</v>
      </c>
      <c r="HR17" s="1138">
        <v>1436.42876612944</v>
      </c>
      <c r="HS17" s="1138">
        <v>4678.6178415367804</v>
      </c>
      <c r="HT17" s="784">
        <f t="shared" si="12"/>
        <v>3.2571178967291576</v>
      </c>
      <c r="HV17" s="169" t="s">
        <v>539</v>
      </c>
      <c r="HW17" s="172">
        <v>457.39111200000002</v>
      </c>
      <c r="HX17" s="337">
        <v>2635.466449</v>
      </c>
      <c r="HY17" s="787">
        <f t="shared" si="13"/>
        <v>5.7619537849699185</v>
      </c>
      <c r="HZ17" s="704">
        <v>1082.7582259999999</v>
      </c>
      <c r="IA17" s="704">
        <v>2925.9428320000002</v>
      </c>
      <c r="IB17" s="787">
        <f t="shared" si="14"/>
        <v>2.7023048744771212</v>
      </c>
      <c r="IC17" s="703">
        <v>402.76846991921161</v>
      </c>
      <c r="ID17" s="704">
        <v>2082.5470114242139</v>
      </c>
      <c r="IE17" s="787">
        <f t="shared" si="15"/>
        <v>5.1705810334208557</v>
      </c>
      <c r="IF17" s="704">
        <v>1083.8588445997057</v>
      </c>
      <c r="IG17" s="704">
        <v>2683.7480513352111</v>
      </c>
      <c r="IH17" s="776">
        <f t="shared" si="16"/>
        <v>2.4761047665080245</v>
      </c>
      <c r="II17" s="1137">
        <v>392.07864770620301</v>
      </c>
      <c r="IJ17" s="1138">
        <v>2176.1358453571902</v>
      </c>
      <c r="IK17" s="1170">
        <f t="shared" si="17"/>
        <v>5.5502533945379193</v>
      </c>
      <c r="IL17" s="1138">
        <v>1034.1724958269499</v>
      </c>
      <c r="IM17" s="1138">
        <v>2492.3043735833098</v>
      </c>
      <c r="IN17" s="1171">
        <f t="shared" si="18"/>
        <v>2.409950355129491</v>
      </c>
      <c r="IP17" s="169" t="s">
        <v>539</v>
      </c>
      <c r="IQ17" s="703">
        <v>205.61224899999999</v>
      </c>
      <c r="IR17" s="704">
        <v>347.68420800000001</v>
      </c>
      <c r="IS17" s="704">
        <v>324.15468299999998</v>
      </c>
      <c r="IT17" s="704">
        <v>221.28868199999999</v>
      </c>
      <c r="IU17" s="704">
        <v>445.38648499999999</v>
      </c>
      <c r="IV17" s="704">
        <v>5565.3862490000001</v>
      </c>
      <c r="IW17" s="703">
        <v>238.62755901527487</v>
      </c>
      <c r="IX17" s="704">
        <v>426.36570324689211</v>
      </c>
      <c r="IY17" s="704">
        <v>284.54321798926145</v>
      </c>
      <c r="IZ17" s="704">
        <v>204.3678727927763</v>
      </c>
      <c r="JA17" s="704">
        <v>338.87878328646912</v>
      </c>
      <c r="JB17" s="173">
        <v>4772.4508845711816</v>
      </c>
      <c r="JC17" s="1137">
        <v>281.35821811768199</v>
      </c>
      <c r="JD17" s="1138">
        <v>365.30981085177598</v>
      </c>
      <c r="JE17" s="1138">
        <v>277.96562052495602</v>
      </c>
      <c r="JF17" s="1138">
        <v>150.34780467925</v>
      </c>
      <c r="JG17" s="1138">
        <v>361.44731195577202</v>
      </c>
      <c r="JH17" s="1139">
        <v>4678.6178415367804</v>
      </c>
      <c r="JJ17" s="169" t="s">
        <v>539</v>
      </c>
      <c r="JK17" s="172">
        <v>642.12890900000002</v>
      </c>
      <c r="JL17" s="337">
        <v>856.10457399999996</v>
      </c>
      <c r="JM17" s="337">
        <v>0</v>
      </c>
      <c r="JN17" s="173">
        <v>45.892823</v>
      </c>
      <c r="JO17" s="703">
        <v>589.0667965440191</v>
      </c>
      <c r="JP17" s="704">
        <v>859.23140132404296</v>
      </c>
      <c r="JQ17" s="704">
        <v>10.557661905086464</v>
      </c>
      <c r="JR17" s="173">
        <v>33.927276557525289</v>
      </c>
      <c r="JS17" s="1137">
        <v>534.86003656071603</v>
      </c>
      <c r="JT17" s="1138">
        <v>867.93106571952558</v>
      </c>
      <c r="JU17" s="1138">
        <v>15.086916712786399</v>
      </c>
      <c r="JV17" s="1139">
        <v>18.550747136409498</v>
      </c>
      <c r="JX17" s="169" t="s">
        <v>539</v>
      </c>
      <c r="JY17" s="703">
        <v>450.83215653762301</v>
      </c>
      <c r="JZ17" s="704">
        <v>425.28317847964098</v>
      </c>
      <c r="KA17" s="704">
        <v>211.59201889136401</v>
      </c>
      <c r="KB17" s="173">
        <v>348.72141222080899</v>
      </c>
      <c r="KC17" s="603"/>
      <c r="KD17" s="169" t="s">
        <v>539</v>
      </c>
      <c r="KE17" s="703">
        <v>127.19528054764901</v>
      </c>
      <c r="KF17" s="704">
        <v>145.88143042126501</v>
      </c>
      <c r="KG17" s="704">
        <v>300.53087867536402</v>
      </c>
      <c r="KH17" s="704">
        <v>225.26139467576701</v>
      </c>
      <c r="KI17" s="704">
        <v>176.10700674111499</v>
      </c>
      <c r="KJ17" s="173">
        <v>59.196504765792703</v>
      </c>
      <c r="KK17" s="703">
        <v>156.824108919644</v>
      </c>
      <c r="KL17" s="704">
        <v>133.69229845882799</v>
      </c>
      <c r="KM17" s="704">
        <v>87.772528888826798</v>
      </c>
      <c r="KN17" s="704">
        <v>7.3125513199512504</v>
      </c>
      <c r="KO17" s="704">
        <v>6.4771601189534396</v>
      </c>
      <c r="KP17" s="173">
        <v>0</v>
      </c>
      <c r="KQ17" s="703">
        <v>284.019389467292</v>
      </c>
      <c r="KR17" s="704">
        <v>279.57372888009297</v>
      </c>
      <c r="KS17" s="704">
        <v>391.68447081701999</v>
      </c>
      <c r="KT17" s="704">
        <v>235.97660078974999</v>
      </c>
      <c r="KU17" s="704">
        <v>185.97807140948899</v>
      </c>
      <c r="KV17" s="173">
        <v>59.196504765792703</v>
      </c>
      <c r="KW17" s="429"/>
      <c r="KX17" s="169" t="s">
        <v>539</v>
      </c>
      <c r="KY17" s="172">
        <f t="shared" si="19"/>
        <v>430.3954090000002</v>
      </c>
      <c r="KZ17" s="337">
        <v>857.16498200000001</v>
      </c>
      <c r="LA17" s="173">
        <v>256.56591500000002</v>
      </c>
      <c r="LB17" s="172">
        <f t="shared" si="3"/>
        <v>439.67251601847215</v>
      </c>
      <c r="LC17" s="704">
        <v>866.7423422596263</v>
      </c>
      <c r="LD17" s="173">
        <v>186.36827805257559</v>
      </c>
      <c r="LE17" s="172">
        <f t="shared" si="4"/>
        <v>483.74741300108803</v>
      </c>
      <c r="LF17" s="1138">
        <v>732.375592257677</v>
      </c>
      <c r="LG17" s="1139">
        <v>220.30576087067499</v>
      </c>
      <c r="LH17" s="426"/>
      <c r="LI17" s="169" t="s">
        <v>539</v>
      </c>
      <c r="LJ17" s="703">
        <v>1338.581979</v>
      </c>
      <c r="LK17" s="704">
        <v>1191.158729</v>
      </c>
      <c r="LL17" s="704">
        <v>147.42325</v>
      </c>
      <c r="LM17" s="704">
        <v>384.827337</v>
      </c>
      <c r="LN17" s="704">
        <v>73.889735999999999</v>
      </c>
      <c r="LO17" s="173">
        <v>80.685226</v>
      </c>
      <c r="LP17" s="703">
        <v>1188.2265698778019</v>
      </c>
      <c r="LQ17" s="704">
        <v>979.12996159018758</v>
      </c>
      <c r="LR17" s="704">
        <v>209.09660828761443</v>
      </c>
      <c r="LS17" s="704">
        <v>438.50380043374747</v>
      </c>
      <c r="LT17" s="704">
        <v>86.229148842701761</v>
      </c>
      <c r="LU17" s="173">
        <v>53.338079059504551</v>
      </c>
      <c r="LV17" s="1137">
        <v>1191.60036042975</v>
      </c>
      <c r="LW17" s="1138">
        <v>1002.6023267780701</v>
      </c>
      <c r="LX17" s="1138">
        <v>188.99803365168</v>
      </c>
      <c r="LY17" s="1138">
        <v>440.28605887950698</v>
      </c>
      <c r="LZ17" s="1138">
        <v>63.004069495095102</v>
      </c>
      <c r="MA17" s="1139">
        <v>73.641004879325493</v>
      </c>
      <c r="MC17" s="169" t="s">
        <v>539</v>
      </c>
      <c r="MD17" s="703">
        <v>0</v>
      </c>
      <c r="ME17" s="704">
        <v>64.310531999999995</v>
      </c>
      <c r="MF17" s="704">
        <v>452.747118</v>
      </c>
      <c r="MG17" s="704">
        <v>332.99319800000001</v>
      </c>
      <c r="MH17" s="704">
        <v>241.22118</v>
      </c>
      <c r="MI17" s="173">
        <v>99.886701000000002</v>
      </c>
      <c r="MJ17" s="703">
        <v>0</v>
      </c>
      <c r="MK17" s="704">
        <v>39.551063024469421</v>
      </c>
      <c r="ML17" s="704">
        <v>397.11298502071583</v>
      </c>
      <c r="MM17" s="704">
        <v>332.90212179287136</v>
      </c>
      <c r="MN17" s="704">
        <v>156.38886414478233</v>
      </c>
      <c r="MO17" s="173">
        <v>53.174927607348522</v>
      </c>
      <c r="MP17" s="1137">
        <v>0</v>
      </c>
      <c r="MQ17" s="1138">
        <v>24.0797391226053</v>
      </c>
      <c r="MR17" s="1138">
        <v>460.36201956667901</v>
      </c>
      <c r="MS17" s="1138">
        <v>320.152214038495</v>
      </c>
      <c r="MT17" s="1138">
        <v>146.545952207889</v>
      </c>
      <c r="MU17" s="1139">
        <v>51.462401842398798</v>
      </c>
      <c r="MW17" s="169" t="s">
        <v>539</v>
      </c>
      <c r="MX17" s="172">
        <v>1204.9141219999999</v>
      </c>
      <c r="MY17" s="337">
        <v>1040.841418</v>
      </c>
      <c r="MZ17" s="337">
        <v>164.07270299999999</v>
      </c>
      <c r="NA17" s="703">
        <v>981.109720384914</v>
      </c>
      <c r="NB17" s="704">
        <v>847.19405518574195</v>
      </c>
      <c r="NC17" s="173">
        <v>133.91566519917217</v>
      </c>
      <c r="ND17" s="1137">
        <v>1009.53963772278</v>
      </c>
      <c r="NE17" s="1138">
        <v>843.98749525870301</v>
      </c>
      <c r="NF17" s="1139">
        <v>165.55214246407499</v>
      </c>
      <c r="NH17" s="169" t="s">
        <v>539</v>
      </c>
      <c r="NI17" s="703">
        <v>689.75125313458091</v>
      </c>
      <c r="NJ17" s="173">
        <v>157.44280205116098</v>
      </c>
      <c r="NK17" s="703">
        <v>94.507117561400193</v>
      </c>
      <c r="NL17" s="704">
        <v>39.408547637771981</v>
      </c>
      <c r="NM17" s="173">
        <v>0</v>
      </c>
      <c r="NN17" s="1137">
        <v>641.75891602452305</v>
      </c>
      <c r="NO17" s="1139">
        <v>202.22857923417959</v>
      </c>
      <c r="NP17" s="1137">
        <v>111.181071580734</v>
      </c>
      <c r="NQ17" s="1138">
        <v>50.8364147326619</v>
      </c>
      <c r="NR17" s="1139">
        <v>3.53465615067842</v>
      </c>
      <c r="NS17" s="136"/>
      <c r="NT17" s="169" t="s">
        <v>539</v>
      </c>
      <c r="NU17" s="703">
        <v>111.8465986297163</v>
      </c>
      <c r="NV17" s="704">
        <v>7.482683940571766</v>
      </c>
      <c r="NW17" s="704">
        <v>0</v>
      </c>
      <c r="NX17" s="173">
        <v>38.113519480872931</v>
      </c>
      <c r="NY17" s="1137">
        <v>118.117143600402</v>
      </c>
      <c r="NZ17" s="1138">
        <v>7.91483018311839</v>
      </c>
      <c r="OA17" s="1138">
        <v>0</v>
      </c>
      <c r="OB17" s="1139">
        <v>76.196605450659206</v>
      </c>
      <c r="OC17" s="553"/>
      <c r="OD17" s="169" t="s">
        <v>539</v>
      </c>
      <c r="OE17" s="703">
        <v>63.080739560894898</v>
      </c>
      <c r="OF17" s="704">
        <v>61.0696321508712</v>
      </c>
      <c r="OG17" s="704">
        <v>74.454870435543398</v>
      </c>
      <c r="OH17" s="704">
        <v>90.303743892261195</v>
      </c>
      <c r="OI17" s="704">
        <v>476.76502934578002</v>
      </c>
      <c r="OJ17" s="704">
        <v>50.751792511637703</v>
      </c>
      <c r="OK17" s="173">
        <v>27.356374420381801</v>
      </c>
      <c r="OL17" s="703">
        <v>84.878941878044301</v>
      </c>
      <c r="OM17" s="704">
        <v>61.0696321508712</v>
      </c>
      <c r="ON17" s="704">
        <v>78.950246989184095</v>
      </c>
      <c r="OO17" s="704">
        <v>90.303743892261195</v>
      </c>
      <c r="OP17" s="704">
        <v>556.598555205092</v>
      </c>
      <c r="OQ17" s="704">
        <v>208.826607671164</v>
      </c>
      <c r="OR17" s="173">
        <v>1274.4849307848899</v>
      </c>
      <c r="OT17" s="169" t="s">
        <v>539</v>
      </c>
      <c r="OU17" s="172">
        <v>387.85309700000005</v>
      </c>
      <c r="OV17" s="337">
        <v>194.96621999999999</v>
      </c>
      <c r="OW17" s="337">
        <v>332.97450500000002</v>
      </c>
      <c r="OX17" s="173">
        <v>969.73492599999997</v>
      </c>
      <c r="OY17" s="703">
        <v>227.91592129178429</v>
      </c>
      <c r="OZ17" s="704">
        <v>189.9574411865556</v>
      </c>
      <c r="PA17" s="704">
        <v>244.48897538839748</v>
      </c>
      <c r="PB17" s="173">
        <v>931.57050530977699</v>
      </c>
      <c r="PC17" s="1137">
        <v>104.20593813372571</v>
      </c>
      <c r="PD17" s="1138">
        <v>111.835037699214</v>
      </c>
      <c r="PE17" s="1138">
        <v>262.305432526321</v>
      </c>
      <c r="PF17" s="1139">
        <v>1006.6904890240889</v>
      </c>
      <c r="PH17" s="169" t="s">
        <v>539</v>
      </c>
      <c r="PI17" s="703">
        <v>43.228840505237301</v>
      </c>
      <c r="PJ17" s="704">
        <v>50.595374134476302</v>
      </c>
      <c r="PK17" s="704">
        <v>117.314445567571</v>
      </c>
      <c r="PL17" s="173">
        <v>488.02687232439683</v>
      </c>
      <c r="PM17" s="703">
        <v>60.977097628488508</v>
      </c>
      <c r="PN17" s="704">
        <v>61.239663564738002</v>
      </c>
      <c r="PO17" s="704">
        <v>144.99098695875</v>
      </c>
      <c r="PP17" s="173">
        <v>518.66361669969206</v>
      </c>
      <c r="PQ17" s="65"/>
      <c r="PR17" s="169" t="s">
        <v>539</v>
      </c>
      <c r="PS17" s="1038">
        <v>30.861645125746598</v>
      </c>
      <c r="PT17" s="1039">
        <v>163.364476666185</v>
      </c>
      <c r="PU17" s="1039">
        <v>105.243885628535</v>
      </c>
      <c r="PV17" s="1039">
        <v>6.95196428502154</v>
      </c>
      <c r="PW17" s="1039">
        <v>446.21478584983498</v>
      </c>
      <c r="PX17" s="1040">
        <v>256.90288016745501</v>
      </c>
      <c r="PZ17" s="169" t="s">
        <v>539</v>
      </c>
      <c r="QA17" s="1038">
        <v>661.36465558515101</v>
      </c>
      <c r="QB17" s="1039">
        <v>348.17498213762701</v>
      </c>
      <c r="QC17" s="1039">
        <v>212.610810277171</v>
      </c>
      <c r="QD17" s="1039">
        <v>22.215950607851699</v>
      </c>
      <c r="QE17" s="1039">
        <v>103.017005758474</v>
      </c>
      <c r="QF17" s="1040">
        <v>10.331215494131101</v>
      </c>
    </row>
    <row r="18" spans="1:448" ht="13.5" customHeight="1">
      <c r="A18" s="591" t="s">
        <v>483</v>
      </c>
      <c r="B18" s="167" t="s">
        <v>540</v>
      </c>
      <c r="C18" s="1103">
        <v>4000.4655130000001</v>
      </c>
      <c r="D18" s="690">
        <v>3876.526589890108</v>
      </c>
      <c r="E18" s="691">
        <v>3581.8981214816499</v>
      </c>
      <c r="F18" s="428"/>
      <c r="G18" s="169" t="s">
        <v>540</v>
      </c>
      <c r="H18" s="577">
        <f t="shared" si="5"/>
        <v>-6.2744705192189221E-3</v>
      </c>
      <c r="I18" s="668">
        <f t="shared" si="6"/>
        <v>-1.5685024890341293E-2</v>
      </c>
      <c r="J18" s="612"/>
      <c r="K18" s="63"/>
      <c r="L18" s="167" t="s">
        <v>540</v>
      </c>
      <c r="M18" s="636">
        <v>28</v>
      </c>
      <c r="N18" s="637">
        <v>30</v>
      </c>
      <c r="O18" s="637">
        <v>27</v>
      </c>
      <c r="P18" s="637">
        <v>24</v>
      </c>
      <c r="Q18" s="637">
        <v>29</v>
      </c>
      <c r="R18" s="637">
        <v>24</v>
      </c>
      <c r="S18" s="637">
        <v>24</v>
      </c>
      <c r="T18" s="637">
        <v>24</v>
      </c>
      <c r="U18" s="1138">
        <v>24</v>
      </c>
      <c r="V18" s="1138">
        <v>17</v>
      </c>
      <c r="W18" s="1139">
        <v>22</v>
      </c>
      <c r="X18" s="169" t="s">
        <v>540</v>
      </c>
      <c r="Y18" s="666">
        <v>29</v>
      </c>
      <c r="Z18" s="667">
        <v>25.5</v>
      </c>
      <c r="AA18" s="667">
        <v>26.5</v>
      </c>
      <c r="AB18" s="667">
        <v>24</v>
      </c>
      <c r="AC18" s="667">
        <v>24</v>
      </c>
      <c r="AD18" s="668">
        <v>-0.1206896551724138</v>
      </c>
      <c r="AE18" s="668">
        <v>3.9215686274509803E-2</v>
      </c>
      <c r="AF18" s="668">
        <v>-9.4339622641509441E-2</v>
      </c>
      <c r="AG18" s="1213">
        <v>3.9215686274509803E-2</v>
      </c>
      <c r="AN18" s="169" t="s">
        <v>540</v>
      </c>
      <c r="AO18" s="636">
        <v>3.7013229999999999</v>
      </c>
      <c r="AP18" s="637">
        <v>71.779117999999997</v>
      </c>
      <c r="AQ18" s="637">
        <v>657.58665299999996</v>
      </c>
      <c r="AR18" s="637">
        <v>701.34060599999998</v>
      </c>
      <c r="AS18" s="637">
        <v>358.82775400000003</v>
      </c>
      <c r="AT18" s="637">
        <v>154.14257499999999</v>
      </c>
      <c r="AU18" s="637">
        <v>589.15419199999997</v>
      </c>
      <c r="AV18" s="173">
        <v>949.93485099999998</v>
      </c>
      <c r="AW18" s="636">
        <v>0</v>
      </c>
      <c r="AX18" s="637">
        <v>73.267892053548763</v>
      </c>
      <c r="AY18" s="637">
        <v>684.21819603170104</v>
      </c>
      <c r="AZ18" s="637">
        <v>512.3865614236953</v>
      </c>
      <c r="BA18" s="637">
        <v>351.4904069572396</v>
      </c>
      <c r="BB18" s="637">
        <v>174.93095296349856</v>
      </c>
      <c r="BC18" s="637">
        <v>714.98802342390115</v>
      </c>
      <c r="BD18" s="173">
        <v>930.24222302854764</v>
      </c>
      <c r="BE18" s="1137">
        <v>0</v>
      </c>
      <c r="BF18" s="1138">
        <v>88.619394600343696</v>
      </c>
      <c r="BG18" s="1138">
        <v>696.711040813213</v>
      </c>
      <c r="BH18" s="1138">
        <v>559.40858588004505</v>
      </c>
      <c r="BI18" s="1138">
        <v>337.42714540580897</v>
      </c>
      <c r="BJ18" s="1138">
        <v>148.84384374350699</v>
      </c>
      <c r="BK18" s="1138">
        <v>586.18764307893105</v>
      </c>
      <c r="BL18" s="1139">
        <v>801.08245211588905</v>
      </c>
      <c r="BN18" s="169" t="s">
        <v>540</v>
      </c>
      <c r="BO18" s="647">
        <v>509.998447</v>
      </c>
      <c r="BP18" s="648">
        <v>1389.3051720000001</v>
      </c>
      <c r="BQ18" s="648">
        <v>732.60680500000001</v>
      </c>
      <c r="BR18" s="648">
        <v>673.31714499999998</v>
      </c>
      <c r="BS18" s="648">
        <v>416.33345400000002</v>
      </c>
      <c r="BT18" s="173">
        <v>278.90449100000001</v>
      </c>
      <c r="BU18" s="647">
        <v>438.0023316634373</v>
      </c>
      <c r="BV18" s="648">
        <v>1438.0411663320394</v>
      </c>
      <c r="BW18" s="648">
        <v>653.58909643487686</v>
      </c>
      <c r="BX18" s="648">
        <v>492.55621045256157</v>
      </c>
      <c r="BY18" s="648">
        <v>502.98336715218608</v>
      </c>
      <c r="BZ18" s="173">
        <v>351.35441785500649</v>
      </c>
      <c r="CA18" s="1137">
        <v>356.61800873621797</v>
      </c>
      <c r="CB18" s="1138">
        <v>1331.67187328399</v>
      </c>
      <c r="CC18" s="1138">
        <v>643.26032297463098</v>
      </c>
      <c r="CD18" s="1138">
        <v>476.82281017041299</v>
      </c>
      <c r="CE18" s="1138">
        <v>497.76232930195698</v>
      </c>
      <c r="CF18" s="1139">
        <v>275.76277701444297</v>
      </c>
      <c r="CG18" s="429"/>
      <c r="CH18" s="169" t="s">
        <v>540</v>
      </c>
      <c r="CI18" s="172">
        <v>1029.1788180000001</v>
      </c>
      <c r="CJ18" s="337">
        <v>2454.643748</v>
      </c>
      <c r="CK18" s="337">
        <v>516.64294700000005</v>
      </c>
      <c r="CL18" s="647">
        <v>952.62950873690556</v>
      </c>
      <c r="CM18" s="648">
        <v>2247.5131933627658</v>
      </c>
      <c r="CN18" s="648">
        <v>676.38388779043635</v>
      </c>
      <c r="CO18" s="1137">
        <v>827.75952792067403</v>
      </c>
      <c r="CP18" s="1138">
        <v>2170.0021578083101</v>
      </c>
      <c r="CQ18" s="1139">
        <v>584.13643575266997</v>
      </c>
      <c r="CR18" s="429"/>
      <c r="CT18" s="1267" t="str">
        <f>INDEX('Aides traitements'!$A$5:$A$58,'Page de garde'!$C$4,1)</f>
        <v>Paul Bert</v>
      </c>
      <c r="CU18" s="1268"/>
      <c r="CV18" s="1267" t="str">
        <f>VLOOKUP($CX$7,'Aides traitements'!$A$5:$B$58,2,FALSE)</f>
        <v>Tours nord</v>
      </c>
      <c r="CW18" s="1268"/>
      <c r="CX18" s="1267" t="str">
        <f>INDEX('Aides traitements'!$A$5:$A$58,'Page de garde'!$C$4,1)</f>
        <v>Paul Bert</v>
      </c>
      <c r="CY18" s="1268"/>
      <c r="CZ18" s="1267" t="str">
        <f>VLOOKUP($CX$7,'Aides traitements'!$A$5:$B$58,2,FALSE)</f>
        <v>Tours nord</v>
      </c>
      <c r="DA18" s="1268"/>
      <c r="DB18" s="1286" t="str">
        <f>INDEX('Aides traitements'!$A$5:$A$58,'Page de garde'!$C$4,1)</f>
        <v>Paul Bert</v>
      </c>
      <c r="DC18" s="1287"/>
      <c r="DD18" s="1286" t="str">
        <f>VLOOKUP($CX$7,'Aides traitements'!$A$5:$B$58,2,FALSE)</f>
        <v>Tours nord</v>
      </c>
      <c r="DE18" s="1287"/>
      <c r="DG18" s="169" t="s">
        <v>540</v>
      </c>
      <c r="DH18" s="1147" t="s">
        <v>734</v>
      </c>
      <c r="DI18" s="1150" t="s">
        <v>817</v>
      </c>
      <c r="DJ18" s="704" t="s">
        <v>818</v>
      </c>
      <c r="DK18" s="704" t="s">
        <v>819</v>
      </c>
      <c r="DL18" s="337" t="s">
        <v>820</v>
      </c>
      <c r="DM18" s="174" t="s">
        <v>804</v>
      </c>
      <c r="DN18" s="451"/>
      <c r="DO18" s="167" t="s">
        <v>540</v>
      </c>
      <c r="DP18" s="704">
        <v>2074.8631350000001</v>
      </c>
      <c r="DQ18" s="337">
        <v>2061.3295314726656</v>
      </c>
      <c r="DR18" s="1139">
        <v>2028.0419787990099</v>
      </c>
      <c r="DS18" s="63"/>
      <c r="DT18" s="169" t="s">
        <v>540</v>
      </c>
      <c r="DU18" s="172">
        <v>3702.4658760000002</v>
      </c>
      <c r="DV18" s="337">
        <v>3608.5267993355201</v>
      </c>
      <c r="DW18" s="1139">
        <v>3325.8978615430901</v>
      </c>
      <c r="DX18" s="63"/>
      <c r="DY18" s="169" t="s">
        <v>540</v>
      </c>
      <c r="DZ18" s="1089">
        <f t="shared" si="0"/>
        <v>1.784438603946761</v>
      </c>
      <c r="EA18" s="787">
        <f t="shared" si="1"/>
        <v>1.7505822064061236</v>
      </c>
      <c r="EB18" s="776">
        <f t="shared" si="2"/>
        <v>1.6399551371775154</v>
      </c>
      <c r="EC18" s="55"/>
      <c r="ED18" s="541"/>
      <c r="EE18" s="169" t="s">
        <v>540</v>
      </c>
      <c r="EF18" s="735">
        <v>1131.6336229999999</v>
      </c>
      <c r="EG18" s="736">
        <v>83.567604000000003</v>
      </c>
      <c r="EH18" s="736">
        <v>433.86635799999999</v>
      </c>
      <c r="EI18" s="736">
        <v>332.21987200000001</v>
      </c>
      <c r="EJ18" s="736">
        <v>93.575677999999996</v>
      </c>
      <c r="EK18" s="703">
        <v>1131.1531609913741</v>
      </c>
      <c r="EL18" s="704">
        <v>95.861813946430857</v>
      </c>
      <c r="EM18" s="704">
        <v>467.96477391387748</v>
      </c>
      <c r="EN18" s="704">
        <v>279.68701991583009</v>
      </c>
      <c r="EO18" s="704">
        <v>86.662762705153057</v>
      </c>
      <c r="EP18" s="1137">
        <v>1221.68946317977</v>
      </c>
      <c r="EQ18" s="1138">
        <v>68.642458883729006</v>
      </c>
      <c r="ER18" s="1138">
        <v>419.31965618447703</v>
      </c>
      <c r="ES18" s="1138">
        <v>244.64632222583401</v>
      </c>
      <c r="ET18" s="1139">
        <v>73.744078325196696</v>
      </c>
      <c r="EV18" s="169" t="s">
        <v>540</v>
      </c>
      <c r="EW18" s="703">
        <v>338.71025900000001</v>
      </c>
      <c r="EX18" s="704">
        <v>493.74755299999998</v>
      </c>
      <c r="EY18" s="704">
        <v>208.03686099999999</v>
      </c>
      <c r="EZ18" s="704">
        <v>92.138947999999999</v>
      </c>
      <c r="FA18" s="703">
        <v>809.26829099999998</v>
      </c>
      <c r="FB18" s="704">
        <v>1514.1442649999999</v>
      </c>
      <c r="FC18" s="704">
        <v>717.18914500000005</v>
      </c>
      <c r="FD18" s="704">
        <v>189.86568299999999</v>
      </c>
      <c r="FE18" s="703">
        <v>365.66172147408037</v>
      </c>
      <c r="FF18" s="704">
        <v>413.29196870229714</v>
      </c>
      <c r="FG18" s="704">
        <v>239.43639461078982</v>
      </c>
      <c r="FH18" s="173">
        <v>112.76307620420674</v>
      </c>
      <c r="FI18" s="703">
        <v>850.58574465053061</v>
      </c>
      <c r="FJ18" s="704">
        <v>1341.7183868145487</v>
      </c>
      <c r="FK18" s="746">
        <v>791.9617530269727</v>
      </c>
      <c r="FL18" s="747">
        <v>215.25856051616131</v>
      </c>
      <c r="FM18" s="1137">
        <v>406.23405741727998</v>
      </c>
      <c r="FN18" s="1138">
        <v>497.01736510488399</v>
      </c>
      <c r="FO18" s="1138">
        <v>232.909953880035</v>
      </c>
      <c r="FP18" s="1139">
        <v>85.528086777574401</v>
      </c>
      <c r="FQ18" s="1137">
        <v>772.11177683974904</v>
      </c>
      <c r="FR18" s="1138">
        <v>1269.3271633780901</v>
      </c>
      <c r="FS18" s="1138">
        <v>770.96935426740595</v>
      </c>
      <c r="FT18" s="1139">
        <v>173.87157558316599</v>
      </c>
      <c r="FV18" s="167" t="s">
        <v>540</v>
      </c>
      <c r="FW18" s="337">
        <v>444.35636199999999</v>
      </c>
      <c r="FX18" s="337">
        <v>193.67035999999999</v>
      </c>
      <c r="FY18" s="337">
        <v>141.21160699999999</v>
      </c>
      <c r="FZ18" s="173">
        <v>80.423580999999999</v>
      </c>
      <c r="GA18" s="703">
        <v>493.92648191302891</v>
      </c>
      <c r="GB18" s="704">
        <v>137.53159779903106</v>
      </c>
      <c r="GC18" s="704">
        <v>136.62712921942585</v>
      </c>
      <c r="GD18" s="173">
        <v>66.229347603374961</v>
      </c>
      <c r="GE18" s="1137">
        <v>435.97283532258501</v>
      </c>
      <c r="GF18" s="1138">
        <v>139.85785739992201</v>
      </c>
      <c r="GG18" s="1138">
        <v>121.86736294238401</v>
      </c>
      <c r="GH18" s="1139">
        <v>40.012001070616577</v>
      </c>
      <c r="GJ18" s="169" t="s">
        <v>540</v>
      </c>
      <c r="GK18" s="703">
        <v>2290.9974670000001</v>
      </c>
      <c r="GL18" s="704">
        <v>2350.4983913880069</v>
      </c>
      <c r="GM18" s="1139">
        <v>2413.00206127212</v>
      </c>
      <c r="GO18" s="169" t="s">
        <v>540</v>
      </c>
      <c r="GP18" s="703">
        <v>2075.8631340000002</v>
      </c>
      <c r="GQ18" s="704">
        <v>57.194960000000002</v>
      </c>
      <c r="GR18" s="173">
        <v>157.93937299999999</v>
      </c>
      <c r="GS18" s="703">
        <v>2058.3295338172038</v>
      </c>
      <c r="GT18" s="704">
        <v>41.845347565856059</v>
      </c>
      <c r="GU18" s="173">
        <v>250.323510004947</v>
      </c>
      <c r="GV18" s="1137">
        <v>2030.04198082978</v>
      </c>
      <c r="GW18" s="1138">
        <v>103.39453010465699</v>
      </c>
      <c r="GX18" s="1139">
        <v>279.56555033768302</v>
      </c>
      <c r="GZ18" s="169" t="s">
        <v>540</v>
      </c>
      <c r="HA18" s="172">
        <v>617.14724999999999</v>
      </c>
      <c r="HB18" s="337">
        <v>1652.1399269999999</v>
      </c>
      <c r="HC18" s="173">
        <f t="shared" si="7"/>
        <v>21.710289999999986</v>
      </c>
      <c r="HD18" s="703">
        <v>587.98327213569212</v>
      </c>
      <c r="HE18" s="704">
        <v>1747.708996597795</v>
      </c>
      <c r="HF18" s="173">
        <f t="shared" si="8"/>
        <v>14.80612265451964</v>
      </c>
      <c r="HG18" s="583">
        <v>628.56832803311602</v>
      </c>
      <c r="HH18" s="1138">
        <v>1776.65676457326</v>
      </c>
      <c r="HI18" s="173">
        <f t="shared" si="9"/>
        <v>7.7769686657438797</v>
      </c>
      <c r="HK18" s="169" t="s">
        <v>540</v>
      </c>
      <c r="HL18" s="704">
        <v>2075.8631340000002</v>
      </c>
      <c r="HM18" s="704">
        <v>6958.2414559999997</v>
      </c>
      <c r="HN18" s="776">
        <f t="shared" si="10"/>
        <v>3.3519750613770469</v>
      </c>
      <c r="HO18" s="703">
        <v>2058.3295338172038</v>
      </c>
      <c r="HP18" s="704">
        <v>6860.7983640439952</v>
      </c>
      <c r="HQ18" s="776">
        <f t="shared" si="11"/>
        <v>3.3331875442318215</v>
      </c>
      <c r="HR18" s="1138">
        <v>2030.04198082978</v>
      </c>
      <c r="HS18" s="1138">
        <v>6570.5206391465699</v>
      </c>
      <c r="HT18" s="784">
        <f t="shared" si="12"/>
        <v>3.2366427399993318</v>
      </c>
      <c r="HV18" s="169" t="s">
        <v>540</v>
      </c>
      <c r="HW18" s="172">
        <v>583.18406800000002</v>
      </c>
      <c r="HX18" s="337">
        <v>3291.2718629999999</v>
      </c>
      <c r="HY18" s="787">
        <f t="shared" si="13"/>
        <v>5.6436244465443792</v>
      </c>
      <c r="HZ18" s="704">
        <v>1470.9687759999999</v>
      </c>
      <c r="IA18" s="704">
        <v>3596.0218369999998</v>
      </c>
      <c r="IB18" s="787">
        <f t="shared" si="14"/>
        <v>2.4446622495812922</v>
      </c>
      <c r="IC18" s="703">
        <v>539.35482821042933</v>
      </c>
      <c r="ID18" s="704">
        <v>3138.9329740272601</v>
      </c>
      <c r="IE18" s="787">
        <f t="shared" si="15"/>
        <v>5.8197921105892192</v>
      </c>
      <c r="IF18" s="704">
        <v>1504.1685829522546</v>
      </c>
      <c r="IG18" s="704">
        <v>3707.059267362215</v>
      </c>
      <c r="IH18" s="776">
        <f t="shared" si="16"/>
        <v>2.4645237969844533</v>
      </c>
      <c r="II18" s="1137">
        <v>554.63369944265105</v>
      </c>
      <c r="IJ18" s="1138">
        <v>3126.2641073770201</v>
      </c>
      <c r="IK18" s="1170">
        <f t="shared" si="17"/>
        <v>5.636628482038847</v>
      </c>
      <c r="IL18" s="1138">
        <v>1467.63131272139</v>
      </c>
      <c r="IM18" s="1138">
        <v>3434.4795610730398</v>
      </c>
      <c r="IN18" s="1171">
        <f t="shared" si="18"/>
        <v>2.3401514612716832</v>
      </c>
      <c r="IP18" s="169" t="s">
        <v>540</v>
      </c>
      <c r="IQ18" s="703">
        <v>377.07685300000003</v>
      </c>
      <c r="IR18" s="704">
        <v>501.51495499999999</v>
      </c>
      <c r="IS18" s="704">
        <v>421.73945300000003</v>
      </c>
      <c r="IT18" s="704">
        <v>285.84913999999998</v>
      </c>
      <c r="IU18" s="704">
        <v>489.68273199999999</v>
      </c>
      <c r="IV18" s="704">
        <v>6958.2414559999997</v>
      </c>
      <c r="IW18" s="703">
        <v>383.22677552457401</v>
      </c>
      <c r="IX18" s="704">
        <v>485.39017026738588</v>
      </c>
      <c r="IY18" s="704">
        <v>454.89206131441301</v>
      </c>
      <c r="IZ18" s="704">
        <v>270.1867288061253</v>
      </c>
      <c r="JA18" s="704">
        <v>464.6337979047056</v>
      </c>
      <c r="JB18" s="173">
        <v>6860.7983640439952</v>
      </c>
      <c r="JC18" s="1137">
        <v>440.14679899768203</v>
      </c>
      <c r="JD18" s="1138">
        <v>479.384635176595</v>
      </c>
      <c r="JE18" s="1138">
        <v>440.31045508965099</v>
      </c>
      <c r="JF18" s="1138">
        <v>249.41773354892999</v>
      </c>
      <c r="JG18" s="1138">
        <v>420.78235801692398</v>
      </c>
      <c r="JH18" s="1139">
        <v>6570.5206391465699</v>
      </c>
      <c r="JJ18" s="169" t="s">
        <v>540</v>
      </c>
      <c r="JK18" s="172">
        <v>914.09993199999997</v>
      </c>
      <c r="JL18" s="337">
        <v>1033.244817</v>
      </c>
      <c r="JM18" s="337">
        <v>62.093069999999997</v>
      </c>
      <c r="JN18" s="173">
        <v>66.425314999999998</v>
      </c>
      <c r="JO18" s="703">
        <v>860.42413051894926</v>
      </c>
      <c r="JP18" s="704">
        <v>1105.0377317283308</v>
      </c>
      <c r="JQ18" s="704">
        <v>32.610754790222622</v>
      </c>
      <c r="JR18" s="173">
        <v>60.256916779701328</v>
      </c>
      <c r="JS18" s="1137">
        <v>904.85889259832402</v>
      </c>
      <c r="JT18" s="1138">
        <v>1013.1936862265904</v>
      </c>
      <c r="JU18" s="1138">
        <v>77.960409471949603</v>
      </c>
      <c r="JV18" s="1139">
        <v>34.028992532917698</v>
      </c>
      <c r="JX18" s="169" t="s">
        <v>540</v>
      </c>
      <c r="JY18" s="703">
        <v>560.35369675165498</v>
      </c>
      <c r="JZ18" s="704">
        <v>561.94065233636604</v>
      </c>
      <c r="KA18" s="704">
        <v>286.68959344853198</v>
      </c>
      <c r="KB18" s="173">
        <v>621.05803829322895</v>
      </c>
      <c r="KC18" s="603"/>
      <c r="KD18" s="169" t="s">
        <v>540</v>
      </c>
      <c r="KE18" s="703">
        <v>233.252708395539</v>
      </c>
      <c r="KF18" s="704">
        <v>45.329851670484302</v>
      </c>
      <c r="KG18" s="704">
        <v>549.80425245952199</v>
      </c>
      <c r="KH18" s="704">
        <v>329.33124518256602</v>
      </c>
      <c r="KI18" s="704">
        <v>205.82294083530201</v>
      </c>
      <c r="KJ18" s="173">
        <v>97.941972131291195</v>
      </c>
      <c r="KK18" s="703">
        <v>260.977521653743</v>
      </c>
      <c r="KL18" s="704">
        <v>165.604038503092</v>
      </c>
      <c r="KM18" s="704">
        <v>86.113355496183203</v>
      </c>
      <c r="KN18" s="704">
        <v>6.7361098846198404</v>
      </c>
      <c r="KO18" s="704">
        <v>27.653002785258401</v>
      </c>
      <c r="KP18" s="173">
        <v>7.5496711197552298</v>
      </c>
      <c r="KQ18" s="703">
        <v>495.23023106466701</v>
      </c>
      <c r="KR18" s="704">
        <v>210.933890173576</v>
      </c>
      <c r="KS18" s="704">
        <v>635.91760795570497</v>
      </c>
      <c r="KT18" s="704">
        <v>336.06735506718599</v>
      </c>
      <c r="KU18" s="704">
        <v>236.64068474889899</v>
      </c>
      <c r="KV18" s="173">
        <v>109.103869773065</v>
      </c>
      <c r="KW18" s="429"/>
      <c r="KX18" s="169" t="s">
        <v>540</v>
      </c>
      <c r="KY18" s="172">
        <f t="shared" si="19"/>
        <v>461.92403599999989</v>
      </c>
      <c r="KZ18" s="337">
        <v>1166.263042</v>
      </c>
      <c r="LA18" s="173">
        <v>446.67605700000001</v>
      </c>
      <c r="LB18" s="172">
        <f t="shared" si="3"/>
        <v>484.92598365045592</v>
      </c>
      <c r="LC18" s="704">
        <v>1175.2504845182505</v>
      </c>
      <c r="LD18" s="173">
        <v>401.15306330395924</v>
      </c>
      <c r="LE18" s="172">
        <f t="shared" si="4"/>
        <v>637.58674756186974</v>
      </c>
      <c r="LF18" s="1138">
        <v>1075.6245531801401</v>
      </c>
      <c r="LG18" s="1139">
        <v>314.830678057</v>
      </c>
      <c r="LH18" s="426"/>
      <c r="LI18" s="169" t="s">
        <v>540</v>
      </c>
      <c r="LJ18" s="703">
        <v>1948.987889</v>
      </c>
      <c r="LK18" s="704">
        <v>1731.4838749999999</v>
      </c>
      <c r="LL18" s="704">
        <v>217.50401299999999</v>
      </c>
      <c r="LM18" s="704">
        <v>778.97025900000006</v>
      </c>
      <c r="LN18" s="704">
        <v>121.10449300000001</v>
      </c>
      <c r="LO18" s="173">
        <v>124.761478</v>
      </c>
      <c r="LP18" s="703">
        <v>1777.3876741607171</v>
      </c>
      <c r="LQ18" s="704">
        <v>1574.2908288498118</v>
      </c>
      <c r="LR18" s="704">
        <v>203.09684531090571</v>
      </c>
      <c r="LS18" s="704">
        <v>753.33781166947222</v>
      </c>
      <c r="LT18" s="704">
        <v>115.56521786574946</v>
      </c>
      <c r="LU18" s="173">
        <v>115.84966674029511</v>
      </c>
      <c r="LV18" s="1137">
        <v>1809.98245841778</v>
      </c>
      <c r="LW18" s="1138">
        <v>1571.33539548928</v>
      </c>
      <c r="LX18" s="1138">
        <v>238.64706292850499</v>
      </c>
      <c r="LY18" s="1138">
        <v>623.98976177391103</v>
      </c>
      <c r="LZ18" s="1138">
        <v>74.600849598120405</v>
      </c>
      <c r="MA18" s="1139">
        <v>132.570607202948</v>
      </c>
      <c r="MC18" s="169" t="s">
        <v>540</v>
      </c>
      <c r="MD18" s="703">
        <v>3.7013229999999999</v>
      </c>
      <c r="ME18" s="704">
        <v>60.770541999999999</v>
      </c>
      <c r="MF18" s="704">
        <v>622.724829</v>
      </c>
      <c r="MG18" s="704">
        <v>646.20877599999994</v>
      </c>
      <c r="MH18" s="704">
        <v>288.24305099999998</v>
      </c>
      <c r="MI18" s="173">
        <v>112.835351</v>
      </c>
      <c r="MJ18" s="703">
        <v>0</v>
      </c>
      <c r="MK18" s="704">
        <v>66.795407930206125</v>
      </c>
      <c r="ML18" s="704">
        <v>635.89060377666601</v>
      </c>
      <c r="MM18" s="704">
        <v>467.85269854968487</v>
      </c>
      <c r="MN18" s="704">
        <v>268.13473335750149</v>
      </c>
      <c r="MO18" s="173">
        <v>140.61738132818951</v>
      </c>
      <c r="MP18" s="1137">
        <v>0</v>
      </c>
      <c r="MQ18" s="1138">
        <v>77.619383431108503</v>
      </c>
      <c r="MR18" s="1138">
        <v>627.54243466265495</v>
      </c>
      <c r="MS18" s="1138">
        <v>485.66724425585397</v>
      </c>
      <c r="MT18" s="1138">
        <v>280.85908216424502</v>
      </c>
      <c r="MU18" s="1139">
        <v>104.647256052339</v>
      </c>
      <c r="MW18" s="169" t="s">
        <v>540</v>
      </c>
      <c r="MX18" s="172">
        <v>1757.4652759999999</v>
      </c>
      <c r="MY18" s="337">
        <v>1514.1580280000001</v>
      </c>
      <c r="MZ18" s="337">
        <v>243.30724799999999</v>
      </c>
      <c r="NA18" s="703">
        <v>1616.1259654226344</v>
      </c>
      <c r="NB18" s="704">
        <v>1373.4927173709491</v>
      </c>
      <c r="NC18" s="173">
        <v>242.6332480516852</v>
      </c>
      <c r="ND18" s="1137">
        <v>1623.88013807078</v>
      </c>
      <c r="NE18" s="1138">
        <v>1357.39405140744</v>
      </c>
      <c r="NF18" s="1139">
        <v>266.48608666334297</v>
      </c>
      <c r="NH18" s="169" t="s">
        <v>540</v>
      </c>
      <c r="NI18" s="703">
        <v>1045.9839717843836</v>
      </c>
      <c r="NJ18" s="173">
        <v>327.50874558656579</v>
      </c>
      <c r="NK18" s="703">
        <v>126.5837313569413</v>
      </c>
      <c r="NL18" s="704">
        <v>116.04951669474386</v>
      </c>
      <c r="NM18" s="173">
        <v>0</v>
      </c>
      <c r="NN18" s="1137">
        <v>965.84989691303497</v>
      </c>
      <c r="NO18" s="1139">
        <v>391.54415449440614</v>
      </c>
      <c r="NP18" s="1137">
        <v>160.11927760980299</v>
      </c>
      <c r="NQ18" s="1138">
        <v>106.366809053539</v>
      </c>
      <c r="NR18" s="1139">
        <v>0</v>
      </c>
      <c r="NS18" s="136"/>
      <c r="NT18" s="169" t="s">
        <v>540</v>
      </c>
      <c r="NU18" s="703">
        <v>208.53477657241157</v>
      </c>
      <c r="NV18" s="704">
        <v>19.193352073391289</v>
      </c>
      <c r="NW18" s="704">
        <v>21.372468365733202</v>
      </c>
      <c r="NX18" s="173">
        <v>78.408148575029756</v>
      </c>
      <c r="NY18" s="1137">
        <v>244.30420974484699</v>
      </c>
      <c r="NZ18" s="1138">
        <v>26.919500524008701</v>
      </c>
      <c r="OA18" s="1138">
        <v>17.904993802379401</v>
      </c>
      <c r="OB18" s="1139">
        <v>102.415450423171</v>
      </c>
      <c r="OC18" s="553"/>
      <c r="OD18" s="169" t="s">
        <v>540</v>
      </c>
      <c r="OE18" s="703">
        <v>65.437985231740797</v>
      </c>
      <c r="OF18" s="704">
        <v>102.17734426995899</v>
      </c>
      <c r="OG18" s="704">
        <v>116.073577575504</v>
      </c>
      <c r="OH18" s="704">
        <v>108.791515197078</v>
      </c>
      <c r="OI18" s="704">
        <v>698.80748332426003</v>
      </c>
      <c r="OJ18" s="704">
        <v>71.188822797557094</v>
      </c>
      <c r="OK18" s="173">
        <v>38.9415755005816</v>
      </c>
      <c r="OL18" s="703">
        <v>92.977326560873806</v>
      </c>
      <c r="OM18" s="704">
        <v>105.654672578093</v>
      </c>
      <c r="ON18" s="704">
        <v>116.073577575504</v>
      </c>
      <c r="OO18" s="704">
        <v>115.403744765252</v>
      </c>
      <c r="OP18" s="704">
        <v>866.70824530535106</v>
      </c>
      <c r="OQ18" s="704">
        <v>349.55988321338498</v>
      </c>
      <c r="OR18" s="173">
        <v>1893.60823946144</v>
      </c>
      <c r="OT18" s="169" t="s">
        <v>540</v>
      </c>
      <c r="OU18" s="172">
        <v>383.199296</v>
      </c>
      <c r="OV18" s="337">
        <v>277.66426200000001</v>
      </c>
      <c r="OW18" s="337">
        <v>433.94729899999999</v>
      </c>
      <c r="OX18" s="173">
        <v>1368.4101009999999</v>
      </c>
      <c r="OY18" s="703">
        <v>361.25531265130508</v>
      </c>
      <c r="OZ18" s="704">
        <v>220.57586439764961</v>
      </c>
      <c r="PA18" s="704">
        <v>379.72495083323679</v>
      </c>
      <c r="PB18" s="173">
        <v>1457.765924427137</v>
      </c>
      <c r="PC18" s="1137">
        <v>253.45815742710519</v>
      </c>
      <c r="PD18" s="1138">
        <v>206.48457043951501</v>
      </c>
      <c r="PE18" s="1138">
        <v>352.44208606296701</v>
      </c>
      <c r="PF18" s="1139">
        <v>1495.1659019963681</v>
      </c>
      <c r="PH18" s="169" t="s">
        <v>540</v>
      </c>
      <c r="PI18" s="703">
        <v>107.39614335230721</v>
      </c>
      <c r="PJ18" s="704">
        <v>126.958105973371</v>
      </c>
      <c r="PK18" s="704">
        <v>225.42222004393801</v>
      </c>
      <c r="PL18" s="173">
        <v>739.78241882588691</v>
      </c>
      <c r="PM18" s="703">
        <v>146.06201407479719</v>
      </c>
      <c r="PN18" s="704">
        <v>79.526464466144105</v>
      </c>
      <c r="PO18" s="704">
        <v>127.01986601903</v>
      </c>
      <c r="PP18" s="173">
        <v>755.38348317048099</v>
      </c>
      <c r="PQ18" s="65"/>
      <c r="PR18" s="169" t="s">
        <v>540</v>
      </c>
      <c r="PS18" s="1038">
        <v>71.821588682556893</v>
      </c>
      <c r="PT18" s="1039">
        <v>217.59937010640101</v>
      </c>
      <c r="PU18" s="1039">
        <v>229.63673034508901</v>
      </c>
      <c r="PV18" s="1039">
        <v>26.786352196851499</v>
      </c>
      <c r="PW18" s="1039">
        <v>697.55756442583004</v>
      </c>
      <c r="PX18" s="1040">
        <v>385.47853739098201</v>
      </c>
      <c r="PZ18" s="169" t="s">
        <v>540</v>
      </c>
      <c r="QA18" s="1038">
        <v>986.36167886940802</v>
      </c>
      <c r="QB18" s="1039">
        <v>637.51845920137498</v>
      </c>
      <c r="QC18" s="1039">
        <v>439.04778285334498</v>
      </c>
      <c r="QD18" s="1039">
        <v>78.025959201297894</v>
      </c>
      <c r="QE18" s="1039">
        <v>116.976331113125</v>
      </c>
      <c r="QF18" s="1040">
        <v>3.4683860336075698</v>
      </c>
    </row>
    <row r="19" spans="1:448" ht="13.5" customHeight="1">
      <c r="A19" s="591" t="s">
        <v>484</v>
      </c>
      <c r="B19" s="167" t="s">
        <v>541</v>
      </c>
      <c r="C19" s="1103">
        <v>2927.8544729999999</v>
      </c>
      <c r="D19" s="690">
        <v>3180.0181977430098</v>
      </c>
      <c r="E19" s="691">
        <v>2779.4697768485798</v>
      </c>
      <c r="F19" s="428"/>
      <c r="G19" s="169" t="s">
        <v>541</v>
      </c>
      <c r="H19" s="577">
        <f t="shared" si="5"/>
        <v>1.6660671718356612E-2</v>
      </c>
      <c r="I19" s="668">
        <f t="shared" si="6"/>
        <v>-2.6566091928238778E-2</v>
      </c>
      <c r="J19" s="612"/>
      <c r="K19" s="63"/>
      <c r="L19" s="167" t="s">
        <v>541</v>
      </c>
      <c r="M19" s="636">
        <v>32</v>
      </c>
      <c r="N19" s="637">
        <v>28</v>
      </c>
      <c r="O19" s="637">
        <v>25</v>
      </c>
      <c r="P19" s="637">
        <v>28</v>
      </c>
      <c r="Q19" s="637">
        <v>35</v>
      </c>
      <c r="R19" s="637">
        <v>20</v>
      </c>
      <c r="S19" s="637">
        <v>37</v>
      </c>
      <c r="T19" s="637">
        <v>21</v>
      </c>
      <c r="U19" s="1138">
        <v>30</v>
      </c>
      <c r="V19" s="1138">
        <v>26</v>
      </c>
      <c r="W19" s="1139">
        <v>29</v>
      </c>
      <c r="X19" s="169" t="s">
        <v>541</v>
      </c>
      <c r="Y19" s="666">
        <v>30</v>
      </c>
      <c r="Z19" s="667">
        <v>26.5</v>
      </c>
      <c r="AA19" s="667">
        <v>27.5</v>
      </c>
      <c r="AB19" s="667">
        <v>29</v>
      </c>
      <c r="AC19" s="667">
        <v>29</v>
      </c>
      <c r="AD19" s="668">
        <v>-0.11666666666666667</v>
      </c>
      <c r="AE19" s="668">
        <v>3.7735849056603772E-2</v>
      </c>
      <c r="AF19" s="668">
        <v>5.4545454545454543E-2</v>
      </c>
      <c r="AG19" s="1213">
        <v>3.7735849056603772E-2</v>
      </c>
      <c r="AN19" s="169" t="s">
        <v>541</v>
      </c>
      <c r="AO19" s="636">
        <v>0</v>
      </c>
      <c r="AP19" s="637">
        <v>57.323214999999998</v>
      </c>
      <c r="AQ19" s="637">
        <v>241.87531200000001</v>
      </c>
      <c r="AR19" s="637">
        <v>418.74388499999998</v>
      </c>
      <c r="AS19" s="637">
        <v>477.78154799999999</v>
      </c>
      <c r="AT19" s="637">
        <v>245.24071799999999</v>
      </c>
      <c r="AU19" s="637">
        <v>555.629276</v>
      </c>
      <c r="AV19" s="173">
        <v>623.51400699999999</v>
      </c>
      <c r="AW19" s="636">
        <v>0</v>
      </c>
      <c r="AX19" s="637">
        <v>72.137522759067437</v>
      </c>
      <c r="AY19" s="637">
        <v>282.2242875366594</v>
      </c>
      <c r="AZ19" s="637">
        <v>392.93173680162948</v>
      </c>
      <c r="BA19" s="637">
        <v>523.34445473282562</v>
      </c>
      <c r="BB19" s="637">
        <v>297.05622042433856</v>
      </c>
      <c r="BC19" s="637">
        <v>591.33858983343748</v>
      </c>
      <c r="BD19" s="173">
        <v>630.66275280971388</v>
      </c>
      <c r="BE19" s="1137">
        <v>0</v>
      </c>
      <c r="BF19" s="1138">
        <v>73.639031236409096</v>
      </c>
      <c r="BG19" s="1138">
        <v>295.53823624402099</v>
      </c>
      <c r="BH19" s="1138">
        <v>311.89917837416198</v>
      </c>
      <c r="BI19" s="1138">
        <v>356.63747032610303</v>
      </c>
      <c r="BJ19" s="1138">
        <v>231.409646604203</v>
      </c>
      <c r="BK19" s="1138">
        <v>622.18786871486805</v>
      </c>
      <c r="BL19" s="1139">
        <v>536.14142664943597</v>
      </c>
      <c r="BN19" s="169" t="s">
        <v>541</v>
      </c>
      <c r="BO19" s="647">
        <v>311.74650700000001</v>
      </c>
      <c r="BP19" s="648">
        <v>1102.6742710000001</v>
      </c>
      <c r="BQ19" s="648">
        <v>475.11367200000001</v>
      </c>
      <c r="BR19" s="648">
        <v>480.25725299999999</v>
      </c>
      <c r="BS19" s="648">
        <v>284.923338</v>
      </c>
      <c r="BT19" s="173">
        <v>273.139432</v>
      </c>
      <c r="BU19" s="647">
        <v>387.3226351898756</v>
      </c>
      <c r="BV19" s="648">
        <v>1026.8366305200625</v>
      </c>
      <c r="BW19" s="648">
        <v>598.34550344103923</v>
      </c>
      <c r="BX19" s="648">
        <v>452.69391558090518</v>
      </c>
      <c r="BY19" s="648">
        <v>364.83435828394335</v>
      </c>
      <c r="BZ19" s="173">
        <v>349.98515472718384</v>
      </c>
      <c r="CA19" s="1137">
        <v>348.01691463783402</v>
      </c>
      <c r="CB19" s="1138">
        <v>834.238845900093</v>
      </c>
      <c r="CC19" s="1138">
        <v>531.79766282643595</v>
      </c>
      <c r="CD19" s="1138">
        <v>375.29211801378</v>
      </c>
      <c r="CE19" s="1138">
        <v>300.03568465589399</v>
      </c>
      <c r="CF19" s="1139">
        <v>390.088550814538</v>
      </c>
      <c r="CG19" s="429"/>
      <c r="CH19" s="169" t="s">
        <v>541</v>
      </c>
      <c r="CI19" s="172">
        <v>591.02663700000005</v>
      </c>
      <c r="CJ19" s="337">
        <v>1894.887532</v>
      </c>
      <c r="CK19" s="337">
        <v>441.94030400000003</v>
      </c>
      <c r="CL19" s="647">
        <v>629.31317950032178</v>
      </c>
      <c r="CM19" s="648">
        <v>1970.4414993716412</v>
      </c>
      <c r="CN19" s="648">
        <v>580.26351887104647</v>
      </c>
      <c r="CO19" s="1137">
        <v>561.11819429923798</v>
      </c>
      <c r="CP19" s="1138">
        <v>1622.6252387567199</v>
      </c>
      <c r="CQ19" s="1139">
        <v>595.72634379262195</v>
      </c>
      <c r="CR19" s="429"/>
      <c r="CT19" s="1281" t="str">
        <f>CONCATENATE($DB18," Hommes")</f>
        <v>Paul Bert Hommes</v>
      </c>
      <c r="CU19" s="1281" t="str">
        <f>CONCATENATE($DB$7," Femmes")</f>
        <v>Paul Bert Femmes</v>
      </c>
      <c r="CV19" s="1281" t="str">
        <f>CONCATENATE($DD18," Hommes")</f>
        <v>Tours nord Hommes</v>
      </c>
      <c r="CW19" s="1281" t="str">
        <f>CONCATENATE($DD$7," Femmes")</f>
        <v>Tours nord Femmes</v>
      </c>
      <c r="CX19" s="1281" t="str">
        <f>CONCATENATE($DB18," Hommes")</f>
        <v>Paul Bert Hommes</v>
      </c>
      <c r="CY19" s="1281" t="str">
        <f>CONCATENATE($DB$7," Femmes")</f>
        <v>Paul Bert Femmes</v>
      </c>
      <c r="CZ19" s="1281" t="str">
        <f>CONCATENATE($DD18," Hommes")</f>
        <v>Tours nord Hommes</v>
      </c>
      <c r="DA19" s="1281" t="str">
        <f>CONCATENATE($DD$7," Femmes")</f>
        <v>Tours nord Femmes</v>
      </c>
      <c r="DB19" s="1288" t="str">
        <f>CONCATENATE($DB18," Hommes")</f>
        <v>Paul Bert Hommes</v>
      </c>
      <c r="DC19" s="1288" t="str">
        <f>CONCATENATE($DB$7," Femmes")</f>
        <v>Paul Bert Femmes</v>
      </c>
      <c r="DD19" s="1288" t="str">
        <f>CONCATENATE($DD18," Hommes")</f>
        <v>Tours nord Hommes</v>
      </c>
      <c r="DE19" s="1288" t="str">
        <f>CONCATENATE($DD$7," Femmes")</f>
        <v>Tours nord Femmes</v>
      </c>
      <c r="DG19" s="169" t="s">
        <v>541</v>
      </c>
      <c r="DH19" s="1147" t="s">
        <v>735</v>
      </c>
      <c r="DI19" s="1150" t="s">
        <v>821</v>
      </c>
      <c r="DJ19" s="704" t="s">
        <v>822</v>
      </c>
      <c r="DK19" s="704" t="s">
        <v>823</v>
      </c>
      <c r="DL19" s="337" t="s">
        <v>824</v>
      </c>
      <c r="DM19" s="174" t="s">
        <v>825</v>
      </c>
      <c r="DN19" s="451"/>
      <c r="DO19" s="167" t="s">
        <v>541</v>
      </c>
      <c r="DP19" s="704">
        <v>1740.448245</v>
      </c>
      <c r="DQ19" s="337">
        <v>1790.7560800738049</v>
      </c>
      <c r="DR19" s="1139">
        <v>1678.89710864575</v>
      </c>
      <c r="DS19" s="63"/>
      <c r="DT19" s="169" t="s">
        <v>541</v>
      </c>
      <c r="DU19" s="172">
        <v>2810.8546160000001</v>
      </c>
      <c r="DV19" s="337">
        <v>2963.0183673312722</v>
      </c>
      <c r="DW19" s="1139">
        <v>2597.4695920485001</v>
      </c>
      <c r="DX19" s="63"/>
      <c r="DY19" s="169" t="s">
        <v>541</v>
      </c>
      <c r="DZ19" s="1089">
        <f t="shared" si="0"/>
        <v>1.6150176393208406</v>
      </c>
      <c r="EA19" s="787">
        <f t="shared" si="1"/>
        <v>1.6546186274621797</v>
      </c>
      <c r="EB19" s="776">
        <f t="shared" si="2"/>
        <v>1.5471285159003574</v>
      </c>
      <c r="EC19" s="55"/>
      <c r="ED19" s="541"/>
      <c r="EE19" s="169" t="s">
        <v>541</v>
      </c>
      <c r="EF19" s="735">
        <v>1085.0760029999999</v>
      </c>
      <c r="EG19" s="736">
        <v>75.825618000000006</v>
      </c>
      <c r="EH19" s="736">
        <v>290.55831899999998</v>
      </c>
      <c r="EI19" s="736">
        <v>147.099118</v>
      </c>
      <c r="EJ19" s="736">
        <v>141.88918799999999</v>
      </c>
      <c r="EK19" s="703">
        <v>1053.8679784073956</v>
      </c>
      <c r="EL19" s="704">
        <v>100.7055578836962</v>
      </c>
      <c r="EM19" s="704">
        <v>293.06696907788069</v>
      </c>
      <c r="EN19" s="704">
        <v>163.17745570659653</v>
      </c>
      <c r="EO19" s="704">
        <v>179.93811899823561</v>
      </c>
      <c r="EP19" s="1137">
        <v>1133.7500743778</v>
      </c>
      <c r="EQ19" s="1138">
        <v>40.2792603440382</v>
      </c>
      <c r="ER19" s="1138">
        <v>200.90354637330799</v>
      </c>
      <c r="ES19" s="1138">
        <v>131.75597475172401</v>
      </c>
      <c r="ET19" s="1139">
        <v>172.20825279888501</v>
      </c>
      <c r="EV19" s="169" t="s">
        <v>541</v>
      </c>
      <c r="EW19" s="703">
        <v>323.38741599999997</v>
      </c>
      <c r="EX19" s="704">
        <v>443.77934299999998</v>
      </c>
      <c r="EY19" s="704">
        <v>237.026883</v>
      </c>
      <c r="EZ19" s="704">
        <v>80.882362000000001</v>
      </c>
      <c r="FA19" s="703">
        <v>780.97828800000002</v>
      </c>
      <c r="FB19" s="704">
        <v>1083.1281750000001</v>
      </c>
      <c r="FC19" s="704">
        <v>532.78128700000002</v>
      </c>
      <c r="FD19" s="704">
        <v>102.220359</v>
      </c>
      <c r="FE19" s="703">
        <v>289.01794596408985</v>
      </c>
      <c r="FF19" s="704">
        <v>427.26060536119064</v>
      </c>
      <c r="FG19" s="704">
        <v>252.80290090011624</v>
      </c>
      <c r="FH19" s="173">
        <v>84.786526181999079</v>
      </c>
      <c r="FI19" s="703">
        <v>709.30554005014926</v>
      </c>
      <c r="FJ19" s="704">
        <v>1226.6864363995592</v>
      </c>
      <c r="FK19" s="746">
        <v>547.02107231361128</v>
      </c>
      <c r="FL19" s="747">
        <v>117.6826638402586</v>
      </c>
      <c r="FM19" s="1137">
        <v>322.56119467431301</v>
      </c>
      <c r="FN19" s="1138">
        <v>453.970285967032</v>
      </c>
      <c r="FO19" s="1138">
        <v>271.91045915787902</v>
      </c>
      <c r="FP19" s="1139">
        <v>85.308134578574993</v>
      </c>
      <c r="FQ19" s="1137">
        <v>548.34535926358797</v>
      </c>
      <c r="FR19" s="1138">
        <v>1056.33292263571</v>
      </c>
      <c r="FS19" s="1138">
        <v>513.42772237808697</v>
      </c>
      <c r="FT19" s="1139">
        <v>140.346682271752</v>
      </c>
      <c r="FV19" s="167" t="s">
        <v>541</v>
      </c>
      <c r="FW19" s="337">
        <v>306.512652</v>
      </c>
      <c r="FX19" s="337">
        <v>128.78388799999999</v>
      </c>
      <c r="FY19" s="337">
        <v>115.591534</v>
      </c>
      <c r="FZ19" s="173">
        <v>32.435397000000002</v>
      </c>
      <c r="GA19" s="703">
        <v>322.16927983152942</v>
      </c>
      <c r="GB19" s="704">
        <v>168.30271354290892</v>
      </c>
      <c r="GC19" s="704">
        <v>112.03685802645759</v>
      </c>
      <c r="GD19" s="173">
        <v>33.673692381816871</v>
      </c>
      <c r="GE19" s="1137">
        <v>236.56462789396599</v>
      </c>
      <c r="GF19" s="1138">
        <v>134.16259547316301</v>
      </c>
      <c r="GG19" s="1138">
        <v>91.469943514149605</v>
      </c>
      <c r="GH19" s="1139">
        <v>42.6706070426388</v>
      </c>
      <c r="GJ19" s="169" t="s">
        <v>541</v>
      </c>
      <c r="GK19" s="703">
        <v>1942.4978759999999</v>
      </c>
      <c r="GL19" s="704">
        <v>1954.99859971872</v>
      </c>
      <c r="GM19" s="1139">
        <v>1971.0017057406301</v>
      </c>
      <c r="GO19" s="169" t="s">
        <v>541</v>
      </c>
      <c r="GP19" s="703">
        <v>1740.448245</v>
      </c>
      <c r="GQ19" s="704">
        <v>45.779105999999999</v>
      </c>
      <c r="GR19" s="173">
        <v>156.27052599999999</v>
      </c>
      <c r="GS19" s="703">
        <v>1791.756079292292</v>
      </c>
      <c r="GT19" s="704">
        <v>19.912530361258412</v>
      </c>
      <c r="GU19" s="173">
        <v>143.32999006516943</v>
      </c>
      <c r="GV19" s="1137">
        <v>1679.8971096611399</v>
      </c>
      <c r="GW19" s="1138">
        <v>74.260149661292004</v>
      </c>
      <c r="GX19" s="1139">
        <v>216.844446418194</v>
      </c>
      <c r="GZ19" s="169" t="s">
        <v>541</v>
      </c>
      <c r="HA19" s="172">
        <v>81.811832999999993</v>
      </c>
      <c r="HB19" s="337">
        <v>1850.737261</v>
      </c>
      <c r="HC19" s="173">
        <f t="shared" si="7"/>
        <v>9.9487819999999374</v>
      </c>
      <c r="HD19" s="703">
        <v>68.253066699465677</v>
      </c>
      <c r="HE19" s="704">
        <v>1877.9488213978129</v>
      </c>
      <c r="HF19" s="173">
        <f t="shared" si="8"/>
        <v>8.7967116214413181</v>
      </c>
      <c r="HG19" s="583">
        <v>80.867475922389303</v>
      </c>
      <c r="HH19" s="1138">
        <v>1861.0308206961399</v>
      </c>
      <c r="HI19" s="173">
        <f t="shared" si="9"/>
        <v>29.103409122100857</v>
      </c>
      <c r="HK19" s="169" t="s">
        <v>541</v>
      </c>
      <c r="HL19" s="704">
        <v>1740.448245</v>
      </c>
      <c r="HM19" s="704">
        <v>4549.3527309999999</v>
      </c>
      <c r="HN19" s="776">
        <f t="shared" si="10"/>
        <v>2.6138971636010928</v>
      </c>
      <c r="HO19" s="703">
        <v>1791.756079292292</v>
      </c>
      <c r="HP19" s="704">
        <v>4828.8081571331977</v>
      </c>
      <c r="HQ19" s="776">
        <f t="shared" si="11"/>
        <v>2.6950142449303036</v>
      </c>
      <c r="HR19" s="1138">
        <v>1679.8971096611399</v>
      </c>
      <c r="HS19" s="1138">
        <v>4358.2856369581896</v>
      </c>
      <c r="HT19" s="784">
        <f t="shared" si="12"/>
        <v>2.5943765316896821</v>
      </c>
      <c r="HV19" s="169" t="s">
        <v>541</v>
      </c>
      <c r="HW19" s="172">
        <v>74.630585999999994</v>
      </c>
      <c r="HX19" s="337">
        <v>403.62224099999997</v>
      </c>
      <c r="HY19" s="787">
        <f t="shared" si="13"/>
        <v>5.4082684142397062</v>
      </c>
      <c r="HZ19" s="704">
        <v>1655.868876</v>
      </c>
      <c r="IA19" s="704">
        <v>4121.1555079999998</v>
      </c>
      <c r="IB19" s="787">
        <f t="shared" si="14"/>
        <v>2.4888175433040747</v>
      </c>
      <c r="IC19" s="703">
        <v>61.44376371331817</v>
      </c>
      <c r="ID19" s="704">
        <v>283.39828722864672</v>
      </c>
      <c r="IE19" s="787">
        <f t="shared" si="15"/>
        <v>4.6123197880734486</v>
      </c>
      <c r="IF19" s="704">
        <v>1721.5156039575329</v>
      </c>
      <c r="IG19" s="704">
        <v>4523.2663747570632</v>
      </c>
      <c r="IH19" s="776">
        <f t="shared" si="16"/>
        <v>2.627490778682855</v>
      </c>
      <c r="II19" s="1137">
        <v>70.472129548285196</v>
      </c>
      <c r="IJ19" s="1138">
        <v>367.33835592861698</v>
      </c>
      <c r="IK19" s="1170">
        <f t="shared" si="17"/>
        <v>5.2125337815558526</v>
      </c>
      <c r="IL19" s="1138">
        <v>1583.8025796760901</v>
      </c>
      <c r="IM19" s="1138">
        <v>3952.3698962220201</v>
      </c>
      <c r="IN19" s="1171">
        <f t="shared" si="18"/>
        <v>2.4954940388026992</v>
      </c>
      <c r="IP19" s="169" t="s">
        <v>541</v>
      </c>
      <c r="IQ19" s="703">
        <v>411.90488299999998</v>
      </c>
      <c r="IR19" s="704">
        <v>579.37432999999999</v>
      </c>
      <c r="IS19" s="704">
        <v>315.491038</v>
      </c>
      <c r="IT19" s="704">
        <v>274.11353500000001</v>
      </c>
      <c r="IU19" s="704">
        <v>159.564458</v>
      </c>
      <c r="IV19" s="704">
        <v>4549.3527309999999</v>
      </c>
      <c r="IW19" s="703">
        <v>398.89562748311732</v>
      </c>
      <c r="IX19" s="704">
        <v>499.59067672745925</v>
      </c>
      <c r="IY19" s="704">
        <v>433.42897653724833</v>
      </c>
      <c r="IZ19" s="704">
        <v>260.89042763310096</v>
      </c>
      <c r="JA19" s="704">
        <v>198.95037091136632</v>
      </c>
      <c r="JB19" s="173">
        <v>4828.8081571331977</v>
      </c>
      <c r="JC19" s="1137">
        <v>451.86679047798498</v>
      </c>
      <c r="JD19" s="1138">
        <v>489.28980052308202</v>
      </c>
      <c r="JE19" s="1138">
        <v>288.40001609545197</v>
      </c>
      <c r="JF19" s="1138">
        <v>282.85407925278002</v>
      </c>
      <c r="JG19" s="1138">
        <v>167.48642331184101</v>
      </c>
      <c r="JH19" s="1139">
        <v>4358.2856369581896</v>
      </c>
      <c r="JJ19" s="169" t="s">
        <v>541</v>
      </c>
      <c r="JK19" s="172">
        <v>347.59029299999997</v>
      </c>
      <c r="JL19" s="337">
        <v>679.56689099999994</v>
      </c>
      <c r="JM19" s="337">
        <v>677.79091900000003</v>
      </c>
      <c r="JN19" s="173">
        <v>35.500141999999997</v>
      </c>
      <c r="JO19" s="703">
        <v>259.94990704695101</v>
      </c>
      <c r="JP19" s="704">
        <v>630.49547463727481</v>
      </c>
      <c r="JQ19" s="704">
        <v>875.48314743695482</v>
      </c>
      <c r="JR19" s="173">
        <v>25.827550171111529</v>
      </c>
      <c r="JS19" s="1137">
        <v>297.08918052381102</v>
      </c>
      <c r="JT19" s="1138">
        <v>651.38407848455392</v>
      </c>
      <c r="JU19" s="1138">
        <v>713.54700746965602</v>
      </c>
      <c r="JV19" s="1139">
        <v>17.876843183122201</v>
      </c>
      <c r="JX19" s="169" t="s">
        <v>541</v>
      </c>
      <c r="JY19" s="703">
        <v>417.04037718681201</v>
      </c>
      <c r="JZ19" s="704">
        <v>480.52787504808299</v>
      </c>
      <c r="KA19" s="704">
        <v>271.63446700166099</v>
      </c>
      <c r="KB19" s="173">
        <v>510.69439042458299</v>
      </c>
      <c r="KC19" s="603"/>
      <c r="KD19" s="169" t="s">
        <v>541</v>
      </c>
      <c r="KE19" s="703">
        <v>157.07887577353</v>
      </c>
      <c r="KF19" s="704">
        <v>53.117033618552497</v>
      </c>
      <c r="KG19" s="704">
        <v>500.88264500512003</v>
      </c>
      <c r="KH19" s="704">
        <v>729.35434776357101</v>
      </c>
      <c r="KI19" s="704">
        <v>107.97383771030999</v>
      </c>
      <c r="KJ19" s="173">
        <v>31.914827585106501</v>
      </c>
      <c r="KK19" s="703">
        <v>35.132948865877097</v>
      </c>
      <c r="KL19" s="704">
        <v>14.1243536542715</v>
      </c>
      <c r="KM19" s="704">
        <v>7.2010955816278202</v>
      </c>
      <c r="KN19" s="704">
        <v>6.9321714357996296</v>
      </c>
      <c r="KO19" s="704">
        <v>7.0815600107091603</v>
      </c>
      <c r="KP19" s="173">
        <v>0</v>
      </c>
      <c r="KQ19" s="703">
        <v>201.152111182342</v>
      </c>
      <c r="KR19" s="704">
        <v>67.241387272823999</v>
      </c>
      <c r="KS19" s="704">
        <v>517.56475889895398</v>
      </c>
      <c r="KT19" s="704">
        <v>743.48761478099902</v>
      </c>
      <c r="KU19" s="704">
        <v>115.05539772102</v>
      </c>
      <c r="KV19" s="173">
        <v>31.914827585106501</v>
      </c>
      <c r="KW19" s="429"/>
      <c r="KX19" s="169" t="s">
        <v>541</v>
      </c>
      <c r="KY19" s="172">
        <f t="shared" si="19"/>
        <v>748.54599200000007</v>
      </c>
      <c r="KZ19" s="337">
        <v>834.73352399999999</v>
      </c>
      <c r="LA19" s="173">
        <v>157.16872900000001</v>
      </c>
      <c r="LB19" s="172">
        <f t="shared" si="3"/>
        <v>707.67096034316069</v>
      </c>
      <c r="LC19" s="704">
        <v>918.40277037799137</v>
      </c>
      <c r="LD19" s="173">
        <v>164.68234935265281</v>
      </c>
      <c r="LE19" s="172">
        <f t="shared" si="4"/>
        <v>720.91849909004895</v>
      </c>
      <c r="LF19" s="1138">
        <v>781.56801066740002</v>
      </c>
      <c r="LG19" s="1139">
        <v>176.410598888301</v>
      </c>
      <c r="LH19" s="426"/>
      <c r="LI19" s="169" t="s">
        <v>541</v>
      </c>
      <c r="LJ19" s="703">
        <v>1450.985279</v>
      </c>
      <c r="LK19" s="704">
        <v>1198.473092</v>
      </c>
      <c r="LL19" s="704">
        <v>252.51218700000001</v>
      </c>
      <c r="LM19" s="704">
        <v>443.969291</v>
      </c>
      <c r="LN19" s="704">
        <v>134.66314299999999</v>
      </c>
      <c r="LO19" s="173">
        <v>144.549948</v>
      </c>
      <c r="LP19" s="703">
        <v>1578.148909683136</v>
      </c>
      <c r="LQ19" s="704">
        <v>1280.6482182896457</v>
      </c>
      <c r="LR19" s="704">
        <v>297.50069139349051</v>
      </c>
      <c r="LS19" s="704">
        <v>400.1076690433535</v>
      </c>
      <c r="LT19" s="704">
        <v>73.355730338235517</v>
      </c>
      <c r="LU19" s="173">
        <v>160.81973461736243</v>
      </c>
      <c r="LV19" s="1137">
        <v>1285.1618150901299</v>
      </c>
      <c r="LW19" s="1138">
        <v>976.40943645161303</v>
      </c>
      <c r="LX19" s="1138">
        <v>308.75237863851697</v>
      </c>
      <c r="LY19" s="1138">
        <v>335.38515226854099</v>
      </c>
      <c r="LZ19" s="1138">
        <v>57.717985434285403</v>
      </c>
      <c r="MA19" s="1139">
        <v>157.46156562516401</v>
      </c>
      <c r="MC19" s="169" t="s">
        <v>541</v>
      </c>
      <c r="MD19" s="703">
        <v>0</v>
      </c>
      <c r="ME19" s="704">
        <v>50.250712999999998</v>
      </c>
      <c r="MF19" s="704">
        <v>213.51316499999999</v>
      </c>
      <c r="MG19" s="704">
        <v>368.20626099999998</v>
      </c>
      <c r="MH19" s="704">
        <v>392.83747499999998</v>
      </c>
      <c r="MI19" s="173">
        <v>178.66547199999999</v>
      </c>
      <c r="MJ19" s="703">
        <v>0</v>
      </c>
      <c r="MK19" s="704">
        <v>60.821954677653373</v>
      </c>
      <c r="ML19" s="704">
        <v>258.04657934293783</v>
      </c>
      <c r="MM19" s="704">
        <v>333.02049711428918</v>
      </c>
      <c r="MN19" s="704">
        <v>402.99553774609711</v>
      </c>
      <c r="MO19" s="173">
        <v>226.76364862715531</v>
      </c>
      <c r="MP19" s="1137">
        <v>0</v>
      </c>
      <c r="MQ19" s="1138">
        <v>59.919157590273002</v>
      </c>
      <c r="MR19" s="1138">
        <v>285.41492271999601</v>
      </c>
      <c r="MS19" s="1138">
        <v>231.642012882561</v>
      </c>
      <c r="MT19" s="1138">
        <v>262.94055298150101</v>
      </c>
      <c r="MU19" s="1139">
        <v>133.49278723112599</v>
      </c>
      <c r="MW19" s="169" t="s">
        <v>541</v>
      </c>
      <c r="MX19" s="172">
        <v>1208.25549</v>
      </c>
      <c r="MY19" s="337">
        <v>1111.6123849999999</v>
      </c>
      <c r="MZ19" s="337">
        <v>96.643105000000006</v>
      </c>
      <c r="NA19" s="703">
        <v>1288.5359346467417</v>
      </c>
      <c r="NB19" s="704">
        <v>1142.6059728052137</v>
      </c>
      <c r="NC19" s="173">
        <v>145.92996184152776</v>
      </c>
      <c r="ND19" s="1137">
        <v>985.37841970532997</v>
      </c>
      <c r="NE19" s="1138">
        <v>829.76269197936904</v>
      </c>
      <c r="NF19" s="1139">
        <v>155.61572772596099</v>
      </c>
      <c r="NH19" s="169" t="s">
        <v>541</v>
      </c>
      <c r="NI19" s="703">
        <v>786.57765305176679</v>
      </c>
      <c r="NJ19" s="173">
        <v>356.02831975344691</v>
      </c>
      <c r="NK19" s="703">
        <v>109.65237824299592</v>
      </c>
      <c r="NL19" s="704">
        <v>32.80513370411775</v>
      </c>
      <c r="NM19" s="173">
        <v>3.4724498944140798</v>
      </c>
      <c r="NN19" s="1137">
        <v>572.16407701573701</v>
      </c>
      <c r="NO19" s="1139">
        <v>257.59861496363243</v>
      </c>
      <c r="NP19" s="1137">
        <v>121.285031510016</v>
      </c>
      <c r="NQ19" s="1138">
        <v>34.330696215945203</v>
      </c>
      <c r="NR19" s="1139">
        <v>0</v>
      </c>
      <c r="NS19" s="136"/>
      <c r="NT19" s="169" t="s">
        <v>541</v>
      </c>
      <c r="NU19" s="703">
        <v>241.650462139719</v>
      </c>
      <c r="NV19" s="704">
        <v>35.601069473326007</v>
      </c>
      <c r="NW19" s="704">
        <v>13.332768386845469</v>
      </c>
      <c r="NX19" s="173">
        <v>65.444019753556432</v>
      </c>
      <c r="NY19" s="1137">
        <v>128.14890105314299</v>
      </c>
      <c r="NZ19" s="1138">
        <v>38.418812741988397</v>
      </c>
      <c r="OA19" s="1138">
        <v>16.596954158339901</v>
      </c>
      <c r="OB19" s="1139">
        <v>74.433947010161106</v>
      </c>
      <c r="OC19" s="553"/>
      <c r="OD19" s="169" t="s">
        <v>541</v>
      </c>
      <c r="OE19" s="703">
        <v>63.3458318480956</v>
      </c>
      <c r="OF19" s="704">
        <v>112.59470422603</v>
      </c>
      <c r="OG19" s="704">
        <v>75.382873334907799</v>
      </c>
      <c r="OH19" s="704">
        <v>65.313827071122901</v>
      </c>
      <c r="OI19" s="704">
        <v>343.68825436283498</v>
      </c>
      <c r="OJ19" s="704">
        <v>84.308444186272993</v>
      </c>
      <c r="OK19" s="173">
        <v>39.553509465345499</v>
      </c>
      <c r="OL19" s="703">
        <v>96.306649471367393</v>
      </c>
      <c r="OM19" s="704">
        <v>112.59470422603</v>
      </c>
      <c r="ON19" s="704">
        <v>78.863885554803105</v>
      </c>
      <c r="OO19" s="704">
        <v>65.313827071122901</v>
      </c>
      <c r="OP19" s="704">
        <v>483.03153219246599</v>
      </c>
      <c r="OQ19" s="704">
        <v>285.89348663650401</v>
      </c>
      <c r="OR19" s="173">
        <v>1597.2140163106501</v>
      </c>
      <c r="OT19" s="169" t="s">
        <v>541</v>
      </c>
      <c r="OU19" s="172">
        <v>589.33665299999996</v>
      </c>
      <c r="OV19" s="337">
        <v>315.034108</v>
      </c>
      <c r="OW19" s="337">
        <v>292.63400799999999</v>
      </c>
      <c r="OX19" s="173">
        <v>720.34990700000003</v>
      </c>
      <c r="OY19" s="703">
        <v>506.74886224245074</v>
      </c>
      <c r="OZ19" s="704">
        <v>412.23969358164095</v>
      </c>
      <c r="PA19" s="704">
        <v>509.53815134484313</v>
      </c>
      <c r="PB19" s="173">
        <v>742.42609658934543</v>
      </c>
      <c r="PC19" s="1137">
        <v>562.07965412464455</v>
      </c>
      <c r="PD19" s="1138">
        <v>381.72796518451298</v>
      </c>
      <c r="PE19" s="1138">
        <v>271.177614307971</v>
      </c>
      <c r="PF19" s="1139">
        <v>683.60359350803697</v>
      </c>
      <c r="PH19" s="169" t="s">
        <v>541</v>
      </c>
      <c r="PI19" s="703">
        <v>181.20088785085818</v>
      </c>
      <c r="PJ19" s="704">
        <v>213.533229527012</v>
      </c>
      <c r="PK19" s="704">
        <v>110.40957255228</v>
      </c>
      <c r="PL19" s="173">
        <v>327.36401669740087</v>
      </c>
      <c r="PM19" s="703">
        <v>380.87876627378546</v>
      </c>
      <c r="PN19" s="704">
        <v>168.19473565750101</v>
      </c>
      <c r="PO19" s="704">
        <v>160.768041755692</v>
      </c>
      <c r="PP19" s="173">
        <v>356.23957681063632</v>
      </c>
      <c r="PQ19" s="65"/>
      <c r="PR19" s="169" t="s">
        <v>541</v>
      </c>
      <c r="PS19" s="1038">
        <v>38.598987400765402</v>
      </c>
      <c r="PT19" s="1039">
        <v>231.04115582058799</v>
      </c>
      <c r="PU19" s="1039">
        <v>88.514480275270301</v>
      </c>
      <c r="PV19" s="1039">
        <v>19.197465210583101</v>
      </c>
      <c r="PW19" s="1039">
        <v>409.47766291708501</v>
      </c>
      <c r="PX19" s="1040">
        <v>194.54866401949801</v>
      </c>
      <c r="PZ19" s="169" t="s">
        <v>541</v>
      </c>
      <c r="QA19" s="1038">
        <v>649.20612365453701</v>
      </c>
      <c r="QB19" s="1039">
        <v>336.17229605079302</v>
      </c>
      <c r="QC19" s="1039">
        <v>257.57866036961099</v>
      </c>
      <c r="QD19" s="1039">
        <v>19.2530845776879</v>
      </c>
      <c r="QE19" s="1039">
        <v>59.340551103494597</v>
      </c>
      <c r="QF19" s="1040">
        <v>0</v>
      </c>
    </row>
    <row r="20" spans="1:448" ht="13.5" customHeight="1">
      <c r="A20" s="591" t="s">
        <v>485</v>
      </c>
      <c r="B20" s="167" t="s">
        <v>542</v>
      </c>
      <c r="C20" s="1103">
        <v>2552.1719149999999</v>
      </c>
      <c r="D20" s="690">
        <v>2600.0978247914309</v>
      </c>
      <c r="E20" s="691">
        <v>2583.20326252933</v>
      </c>
      <c r="F20" s="428"/>
      <c r="G20" s="169" t="s">
        <v>542</v>
      </c>
      <c r="H20" s="577">
        <f t="shared" si="5"/>
        <v>3.7277992668234283E-3</v>
      </c>
      <c r="I20" s="668">
        <f t="shared" si="6"/>
        <v>-1.3029236167222402E-3</v>
      </c>
      <c r="J20" s="612"/>
      <c r="K20" s="63"/>
      <c r="L20" s="167" t="s">
        <v>542</v>
      </c>
      <c r="M20" s="636">
        <v>33</v>
      </c>
      <c r="N20" s="637">
        <v>31</v>
      </c>
      <c r="O20" s="637">
        <v>36</v>
      </c>
      <c r="P20" s="637">
        <v>36</v>
      </c>
      <c r="Q20" s="637">
        <v>36</v>
      </c>
      <c r="R20" s="637">
        <v>28</v>
      </c>
      <c r="S20" s="637">
        <v>39</v>
      </c>
      <c r="T20" s="637">
        <v>27</v>
      </c>
      <c r="U20" s="1138">
        <v>25</v>
      </c>
      <c r="V20" s="1138">
        <v>27</v>
      </c>
      <c r="W20" s="1139">
        <v>27</v>
      </c>
      <c r="X20" s="169" t="s">
        <v>542</v>
      </c>
      <c r="Y20" s="666">
        <v>32</v>
      </c>
      <c r="Z20" s="667">
        <v>36</v>
      </c>
      <c r="AA20" s="667">
        <v>32</v>
      </c>
      <c r="AB20" s="667">
        <v>33</v>
      </c>
      <c r="AC20" s="667">
        <v>33</v>
      </c>
      <c r="AD20" s="668">
        <v>0.125</v>
      </c>
      <c r="AE20" s="668">
        <v>-0.1111111111111111</v>
      </c>
      <c r="AF20" s="668">
        <v>3.125E-2</v>
      </c>
      <c r="AG20" s="1213">
        <v>-0.1111111111111111</v>
      </c>
      <c r="AN20" s="169" t="s">
        <v>542</v>
      </c>
      <c r="AO20" s="636">
        <v>3.8830710000000002</v>
      </c>
      <c r="AP20" s="637">
        <v>42.232979999999998</v>
      </c>
      <c r="AQ20" s="637">
        <v>133.59711200000001</v>
      </c>
      <c r="AR20" s="637">
        <v>341.27903700000002</v>
      </c>
      <c r="AS20" s="637">
        <v>384.046491</v>
      </c>
      <c r="AT20" s="637">
        <v>301.46016300000002</v>
      </c>
      <c r="AU20" s="637">
        <v>379.40564499999999</v>
      </c>
      <c r="AV20" s="173">
        <v>519.51853400000005</v>
      </c>
      <c r="AW20" s="636">
        <v>0</v>
      </c>
      <c r="AX20" s="637">
        <v>88.368916904037192</v>
      </c>
      <c r="AY20" s="637">
        <v>137.24488582996148</v>
      </c>
      <c r="AZ20" s="637">
        <v>267.43588623721229</v>
      </c>
      <c r="BA20" s="637">
        <v>429.67921005061646</v>
      </c>
      <c r="BB20" s="637">
        <v>276.1663809240755</v>
      </c>
      <c r="BC20" s="637">
        <v>392.613860923998</v>
      </c>
      <c r="BD20" s="173">
        <v>538.5832330182584</v>
      </c>
      <c r="BE20" s="1137">
        <v>0</v>
      </c>
      <c r="BF20" s="1138">
        <v>72.167903268026805</v>
      </c>
      <c r="BG20" s="1138">
        <v>221.773771433045</v>
      </c>
      <c r="BH20" s="1138">
        <v>290.26687018317602</v>
      </c>
      <c r="BI20" s="1138">
        <v>400.83935894612102</v>
      </c>
      <c r="BJ20" s="1138">
        <v>233.65087190593701</v>
      </c>
      <c r="BK20" s="1138">
        <v>428.71021339947498</v>
      </c>
      <c r="BL20" s="1139">
        <v>585.58684017597</v>
      </c>
      <c r="BN20" s="169" t="s">
        <v>542</v>
      </c>
      <c r="BO20" s="647">
        <v>439.74889000000002</v>
      </c>
      <c r="BP20" s="648">
        <v>759.55024200000003</v>
      </c>
      <c r="BQ20" s="648">
        <v>577.350461</v>
      </c>
      <c r="BR20" s="648">
        <v>365.341002</v>
      </c>
      <c r="BS20" s="648">
        <v>189.86519100000001</v>
      </c>
      <c r="BT20" s="173">
        <v>220.31612899999999</v>
      </c>
      <c r="BU20" s="647">
        <v>461.00545793688622</v>
      </c>
      <c r="BV20" s="648">
        <v>777.09643210584295</v>
      </c>
      <c r="BW20" s="648">
        <v>537.80693410162451</v>
      </c>
      <c r="BX20" s="648">
        <v>393.50356585366194</v>
      </c>
      <c r="BY20" s="648">
        <v>215.37308347814059</v>
      </c>
      <c r="BZ20" s="173">
        <v>215.31235131527478</v>
      </c>
      <c r="CA20" s="1137">
        <v>342.20742509450002</v>
      </c>
      <c r="CB20" s="1138">
        <v>799.46492162246898</v>
      </c>
      <c r="CC20" s="1138">
        <v>479.36566298430199</v>
      </c>
      <c r="CD20" s="1138">
        <v>416.67232971891002</v>
      </c>
      <c r="CE20" s="1138">
        <v>332.49361388040302</v>
      </c>
      <c r="CF20" s="1139">
        <v>212.999309228746</v>
      </c>
      <c r="CG20" s="429"/>
      <c r="CH20" s="169" t="s">
        <v>542</v>
      </c>
      <c r="CI20" s="172">
        <v>715.89463799999999</v>
      </c>
      <c r="CJ20" s="337">
        <v>1514.368305</v>
      </c>
      <c r="CK20" s="337">
        <v>321.90897200000001</v>
      </c>
      <c r="CL20" s="647">
        <v>753.79125747940736</v>
      </c>
      <c r="CM20" s="648">
        <v>1502.5745459985217</v>
      </c>
      <c r="CN20" s="648">
        <v>343.732021313502</v>
      </c>
      <c r="CO20" s="1137">
        <v>594.08719145453301</v>
      </c>
      <c r="CP20" s="1138">
        <v>1567.20516086162</v>
      </c>
      <c r="CQ20" s="1139">
        <v>421.91091021317698</v>
      </c>
      <c r="CR20" s="429"/>
      <c r="CT20" s="1282"/>
      <c r="CU20" s="1282"/>
      <c r="CV20" s="1282"/>
      <c r="CW20" s="1282"/>
      <c r="CX20" s="1282"/>
      <c r="CY20" s="1282"/>
      <c r="CZ20" s="1282"/>
      <c r="DA20" s="1282"/>
      <c r="DB20" s="1289"/>
      <c r="DC20" s="1289"/>
      <c r="DD20" s="1289"/>
      <c r="DE20" s="1289"/>
      <c r="DG20" s="169" t="s">
        <v>542</v>
      </c>
      <c r="DH20" s="1147" t="s">
        <v>736</v>
      </c>
      <c r="DI20" s="1150" t="s">
        <v>826</v>
      </c>
      <c r="DJ20" s="704" t="s">
        <v>827</v>
      </c>
      <c r="DK20" s="704" t="s">
        <v>828</v>
      </c>
      <c r="DL20" s="337" t="s">
        <v>829</v>
      </c>
      <c r="DM20" s="174" t="s">
        <v>830</v>
      </c>
      <c r="DN20" s="451"/>
      <c r="DO20" s="167" t="s">
        <v>542</v>
      </c>
      <c r="DP20" s="704">
        <v>1441.4390129999999</v>
      </c>
      <c r="DQ20" s="337">
        <v>1471.6308015613388</v>
      </c>
      <c r="DR20" s="1139">
        <v>1636.41731865978</v>
      </c>
      <c r="DS20" s="63"/>
      <c r="DT20" s="169" t="s">
        <v>542</v>
      </c>
      <c r="DU20" s="172">
        <v>2464.1720220000002</v>
      </c>
      <c r="DV20" s="337">
        <v>2524.0978841863985</v>
      </c>
      <c r="DW20" s="1139">
        <v>2572.2032513600998</v>
      </c>
      <c r="DX20" s="63"/>
      <c r="DY20" s="169" t="s">
        <v>542</v>
      </c>
      <c r="DZ20" s="1089">
        <f t="shared" si="0"/>
        <v>1.7095222203480074</v>
      </c>
      <c r="EA20" s="787">
        <f t="shared" si="1"/>
        <v>1.7151705995202302</v>
      </c>
      <c r="EB20" s="776">
        <f t="shared" si="2"/>
        <v>1.5718504210568518</v>
      </c>
      <c r="EC20" s="55"/>
      <c r="ED20" s="541"/>
      <c r="EE20" s="169" t="s">
        <v>542</v>
      </c>
      <c r="EF20" s="735">
        <v>869.93496500000003</v>
      </c>
      <c r="EG20" s="736">
        <v>50.678716000000001</v>
      </c>
      <c r="EH20" s="736">
        <v>189.08307500000001</v>
      </c>
      <c r="EI20" s="736">
        <v>201.656498</v>
      </c>
      <c r="EJ20" s="736">
        <v>130.085759</v>
      </c>
      <c r="EK20" s="703">
        <v>881.39188100559136</v>
      </c>
      <c r="EL20" s="704">
        <v>55.358828580399638</v>
      </c>
      <c r="EM20" s="704">
        <v>163.46853291450799</v>
      </c>
      <c r="EN20" s="704">
        <v>172.1428687085471</v>
      </c>
      <c r="EO20" s="704">
        <v>199.26869035229268</v>
      </c>
      <c r="EP20" s="1137">
        <v>1080.7154638913601</v>
      </c>
      <c r="EQ20" s="1138">
        <v>51.8191423314533</v>
      </c>
      <c r="ER20" s="1138">
        <v>196.49402424373099</v>
      </c>
      <c r="ES20" s="1138">
        <v>154.53663231809099</v>
      </c>
      <c r="ET20" s="1139">
        <v>152.85205587514699</v>
      </c>
      <c r="EV20" s="169" t="s">
        <v>542</v>
      </c>
      <c r="EW20" s="703">
        <v>203.04969700000001</v>
      </c>
      <c r="EX20" s="704">
        <v>384.81672900000001</v>
      </c>
      <c r="EY20" s="704">
        <v>198.26135600000001</v>
      </c>
      <c r="EZ20" s="704">
        <v>82.807184000000007</v>
      </c>
      <c r="FA20" s="703">
        <v>486.10971499999999</v>
      </c>
      <c r="FB20" s="704">
        <v>1049.0211220000001</v>
      </c>
      <c r="FC20" s="704">
        <v>362.552347</v>
      </c>
      <c r="FD20" s="704">
        <v>137.739935</v>
      </c>
      <c r="FE20" s="703">
        <v>174.91094308249845</v>
      </c>
      <c r="FF20" s="704">
        <v>358.65188788144758</v>
      </c>
      <c r="FG20" s="704">
        <v>247.76066707432773</v>
      </c>
      <c r="FH20" s="173">
        <v>102.06838140429213</v>
      </c>
      <c r="FI20" s="703">
        <v>470.01977162073683</v>
      </c>
      <c r="FJ20" s="704">
        <v>1040.2911741330151</v>
      </c>
      <c r="FK20" s="746">
        <v>423.23827546496187</v>
      </c>
      <c r="FL20" s="747">
        <v>137.54319877869676</v>
      </c>
      <c r="FM20" s="1137">
        <v>285.77978787132099</v>
      </c>
      <c r="FN20" s="1138">
        <v>364.36375044264901</v>
      </c>
      <c r="FO20" s="1138">
        <v>312.87545625222498</v>
      </c>
      <c r="FP20" s="1139">
        <v>120.69647237131799</v>
      </c>
      <c r="FQ20" s="1137">
        <v>538.59980678560703</v>
      </c>
      <c r="FR20" s="1138">
        <v>1019.16578379674</v>
      </c>
      <c r="FS20" s="1138">
        <v>519.07616082863899</v>
      </c>
      <c r="FT20" s="1139">
        <v>153.154074854611</v>
      </c>
      <c r="FV20" s="167" t="s">
        <v>542</v>
      </c>
      <c r="FW20" s="337">
        <v>195.73048199999999</v>
      </c>
      <c r="FX20" s="337">
        <v>149.346484</v>
      </c>
      <c r="FY20" s="337">
        <v>128.035438</v>
      </c>
      <c r="FZ20" s="173">
        <v>47.712927000000001</v>
      </c>
      <c r="GA20" s="703">
        <v>186.64533345798571</v>
      </c>
      <c r="GB20" s="704">
        <v>189.87369446123171</v>
      </c>
      <c r="GC20" s="704">
        <v>96.220622380199487</v>
      </c>
      <c r="GD20" s="173">
        <v>65.699355399092269</v>
      </c>
      <c r="GE20" s="1137">
        <v>228.14587260662501</v>
      </c>
      <c r="GF20" s="1138">
        <v>153.882479502324</v>
      </c>
      <c r="GG20" s="1138">
        <v>75.879572117977403</v>
      </c>
      <c r="GH20" s="1139">
        <v>49.7400553773087</v>
      </c>
      <c r="GJ20" s="169" t="s">
        <v>542</v>
      </c>
      <c r="GK20" s="703">
        <v>1558.998239</v>
      </c>
      <c r="GL20" s="704">
        <v>1580.4988467748426</v>
      </c>
      <c r="GM20" s="1139">
        <v>1880.7559308497</v>
      </c>
      <c r="GO20" s="169" t="s">
        <v>542</v>
      </c>
      <c r="GP20" s="703">
        <v>1443.4390109999999</v>
      </c>
      <c r="GQ20" s="704">
        <v>15.314788</v>
      </c>
      <c r="GR20" s="173">
        <v>100.24444</v>
      </c>
      <c r="GS20" s="703">
        <v>1475.6307984352879</v>
      </c>
      <c r="GT20" s="704">
        <v>2.0834272751949801</v>
      </c>
      <c r="GU20" s="173">
        <v>102.7846210643596</v>
      </c>
      <c r="GV20" s="1137">
        <v>1639.4173217059399</v>
      </c>
      <c r="GW20" s="1138">
        <v>88.210318353564801</v>
      </c>
      <c r="GX20" s="1139">
        <v>153.1282907902</v>
      </c>
      <c r="GZ20" s="169" t="s">
        <v>542</v>
      </c>
      <c r="HA20" s="172">
        <v>130.83331100000001</v>
      </c>
      <c r="HB20" s="337">
        <v>1416.155616</v>
      </c>
      <c r="HC20" s="173">
        <f t="shared" si="7"/>
        <v>12.009311999999909</v>
      </c>
      <c r="HD20" s="703">
        <v>116.67628386922816</v>
      </c>
      <c r="HE20" s="704">
        <v>1370.0933835328781</v>
      </c>
      <c r="HF20" s="173">
        <f t="shared" si="8"/>
        <v>93.729179372736326</v>
      </c>
      <c r="HG20" s="583">
        <v>134.06903428317401</v>
      </c>
      <c r="HH20" s="1138">
        <v>1652.8674406554401</v>
      </c>
      <c r="HI20" s="173">
        <f t="shared" si="9"/>
        <v>93.819455911085925</v>
      </c>
      <c r="HK20" s="169" t="s">
        <v>542</v>
      </c>
      <c r="HL20" s="704">
        <v>1443.4390109999999</v>
      </c>
      <c r="HM20" s="704">
        <v>3859.3364769999998</v>
      </c>
      <c r="HN20" s="776">
        <f t="shared" si="10"/>
        <v>2.6737094172938352</v>
      </c>
      <c r="HO20" s="703">
        <v>1475.6307984352879</v>
      </c>
      <c r="HP20" s="704">
        <v>4012.7192453679454</v>
      </c>
      <c r="HQ20" s="776">
        <f t="shared" si="11"/>
        <v>2.7193246777059041</v>
      </c>
      <c r="HR20" s="1138">
        <v>1639.4173217059399</v>
      </c>
      <c r="HS20" s="1138">
        <v>4172.48814758962</v>
      </c>
      <c r="HT20" s="784">
        <f t="shared" si="12"/>
        <v>2.5451043442970489</v>
      </c>
      <c r="HV20" s="169" t="s">
        <v>542</v>
      </c>
      <c r="HW20" s="172">
        <v>111.934966</v>
      </c>
      <c r="HX20" s="337">
        <v>477.84631000000002</v>
      </c>
      <c r="HY20" s="787">
        <f t="shared" si="13"/>
        <v>4.2689637302431489</v>
      </c>
      <c r="HZ20" s="704">
        <v>1319.494733</v>
      </c>
      <c r="IA20" s="704">
        <v>3347.496971</v>
      </c>
      <c r="IB20" s="787">
        <f t="shared" si="14"/>
        <v>2.5369536439066636</v>
      </c>
      <c r="IC20" s="703">
        <v>116.67628386922816</v>
      </c>
      <c r="ID20" s="704">
        <v>585.05904801315978</v>
      </c>
      <c r="IE20" s="787">
        <f t="shared" si="15"/>
        <v>5.014378489024379</v>
      </c>
      <c r="IF20" s="704">
        <v>1274.9888248253849</v>
      </c>
      <c r="IG20" s="704">
        <v>3323.5329130406571</v>
      </c>
      <c r="IH20" s="776">
        <f t="shared" si="16"/>
        <v>2.6067153282663704</v>
      </c>
      <c r="II20" s="1137">
        <v>122.53079649643399</v>
      </c>
      <c r="IJ20" s="1138">
        <v>534.540594746122</v>
      </c>
      <c r="IK20" s="1170">
        <f t="shared" si="17"/>
        <v>4.3624999594422675</v>
      </c>
      <c r="IL20" s="1138">
        <v>1433.0104184747399</v>
      </c>
      <c r="IM20" s="1138">
        <v>3543.0232691391202</v>
      </c>
      <c r="IN20" s="1171">
        <f t="shared" si="18"/>
        <v>2.472433712596608</v>
      </c>
      <c r="IP20" s="169" t="s">
        <v>542</v>
      </c>
      <c r="IQ20" s="703">
        <v>309.59474499999999</v>
      </c>
      <c r="IR20" s="704">
        <v>373.48108200000001</v>
      </c>
      <c r="IS20" s="704">
        <v>413.84142700000001</v>
      </c>
      <c r="IT20" s="704">
        <v>238.55346700000001</v>
      </c>
      <c r="IU20" s="704">
        <v>107.96829</v>
      </c>
      <c r="IV20" s="704">
        <v>3859.3364769999998</v>
      </c>
      <c r="IW20" s="703">
        <v>349.57241428474936</v>
      </c>
      <c r="IX20" s="704">
        <v>340.3902683205024</v>
      </c>
      <c r="IY20" s="704">
        <v>411.56041779994831</v>
      </c>
      <c r="IZ20" s="704">
        <v>250.85745165483701</v>
      </c>
      <c r="JA20" s="704">
        <v>123.25024637525088</v>
      </c>
      <c r="JB20" s="173">
        <v>4012.7192453679454</v>
      </c>
      <c r="JC20" s="1137">
        <v>428.75246760901001</v>
      </c>
      <c r="JD20" s="1138">
        <v>428.44546589069802</v>
      </c>
      <c r="JE20" s="1138">
        <v>419.34747036727299</v>
      </c>
      <c r="JF20" s="1138">
        <v>267.27978654181197</v>
      </c>
      <c r="JG20" s="1138">
        <v>95.592131297142799</v>
      </c>
      <c r="JH20" s="1139">
        <v>4172.48814758962</v>
      </c>
      <c r="JJ20" s="169" t="s">
        <v>542</v>
      </c>
      <c r="JK20" s="172">
        <v>97.576075000000003</v>
      </c>
      <c r="JL20" s="337">
        <v>427.62927900000011</v>
      </c>
      <c r="JM20" s="337">
        <v>885.268778</v>
      </c>
      <c r="JN20" s="173">
        <v>32.964879000000003</v>
      </c>
      <c r="JO20" s="703">
        <v>137.32004188657271</v>
      </c>
      <c r="JP20" s="704">
        <v>345.99769072407639</v>
      </c>
      <c r="JQ20" s="704">
        <v>963.27241940821</v>
      </c>
      <c r="JR20" s="173">
        <v>29.040646416429063</v>
      </c>
      <c r="JS20" s="1137">
        <v>209.39926172827799</v>
      </c>
      <c r="JT20" s="1138">
        <v>559.96458799622087</v>
      </c>
      <c r="JU20" s="1138">
        <v>838.17604047327904</v>
      </c>
      <c r="JV20" s="1139">
        <v>31.877431508159201</v>
      </c>
      <c r="JX20" s="169" t="s">
        <v>542</v>
      </c>
      <c r="JY20" s="703">
        <v>388.828639210478</v>
      </c>
      <c r="JZ20" s="704">
        <v>484.75526247244602</v>
      </c>
      <c r="KA20" s="704">
        <v>300.950021426099</v>
      </c>
      <c r="KB20" s="173">
        <v>464.88339859691303</v>
      </c>
      <c r="KC20" s="603"/>
      <c r="KD20" s="169" t="s">
        <v>542</v>
      </c>
      <c r="KE20" s="703">
        <v>105.29424023904799</v>
      </c>
      <c r="KF20" s="704">
        <v>91.674740706672495</v>
      </c>
      <c r="KG20" s="704">
        <v>280.74042034816699</v>
      </c>
      <c r="KH20" s="704">
        <v>512.09624336067805</v>
      </c>
      <c r="KI20" s="704">
        <v>238.43657865949601</v>
      </c>
      <c r="KJ20" s="173">
        <v>203.66337746371499</v>
      </c>
      <c r="KK20" s="703">
        <v>45.133498382801498</v>
      </c>
      <c r="KL20" s="704">
        <v>48.369337683787897</v>
      </c>
      <c r="KM20" s="704">
        <v>14.377982229877199</v>
      </c>
      <c r="KN20" s="704">
        <v>8.8358043828941106</v>
      </c>
      <c r="KO20" s="704">
        <v>0.96987555049562901</v>
      </c>
      <c r="KP20" s="173">
        <v>4.8442982665772103</v>
      </c>
      <c r="KQ20" s="703">
        <v>154.17686040830799</v>
      </c>
      <c r="KR20" s="704">
        <v>140.04407839045999</v>
      </c>
      <c r="KS20" s="704">
        <v>299.53767336588697</v>
      </c>
      <c r="KT20" s="704">
        <v>591.11567341923399</v>
      </c>
      <c r="KU20" s="704">
        <v>242.72090730087399</v>
      </c>
      <c r="KV20" s="173">
        <v>210.71731112421301</v>
      </c>
      <c r="KW20" s="429"/>
      <c r="KX20" s="169" t="s">
        <v>542</v>
      </c>
      <c r="KY20" s="172">
        <f t="shared" si="19"/>
        <v>548.725728</v>
      </c>
      <c r="KZ20" s="337">
        <v>768.77636299999995</v>
      </c>
      <c r="LA20" s="173">
        <v>123.936922</v>
      </c>
      <c r="LB20" s="172">
        <f t="shared" si="3"/>
        <v>666.97647210469063</v>
      </c>
      <c r="LC20" s="704">
        <v>678.68472061136413</v>
      </c>
      <c r="LD20" s="173">
        <v>125.96960884528403</v>
      </c>
      <c r="LE20" s="172">
        <f t="shared" si="4"/>
        <v>741.10997397047299</v>
      </c>
      <c r="LF20" s="1138">
        <v>752.47769185998402</v>
      </c>
      <c r="LG20" s="1139">
        <v>142.82965282932301</v>
      </c>
      <c r="LH20" s="426"/>
      <c r="LI20" s="169" t="s">
        <v>542</v>
      </c>
      <c r="LJ20" s="703">
        <v>1212.335808</v>
      </c>
      <c r="LK20" s="704">
        <v>985.93742499999996</v>
      </c>
      <c r="LL20" s="704">
        <v>226.398383</v>
      </c>
      <c r="LM20" s="704">
        <v>341.72370100000001</v>
      </c>
      <c r="LN20" s="704">
        <v>75.404156999999998</v>
      </c>
      <c r="LO20" s="173">
        <v>161.050387</v>
      </c>
      <c r="LP20" s="703">
        <v>1222.8349644961411</v>
      </c>
      <c r="LQ20" s="704">
        <v>941.78662745907138</v>
      </c>
      <c r="LR20" s="704">
        <v>281.0483370370697</v>
      </c>
      <c r="LS20" s="704">
        <v>354.00539355438082</v>
      </c>
      <c r="LT20" s="704">
        <v>76.517269581897239</v>
      </c>
      <c r="LU20" s="173">
        <v>142.00271790862365</v>
      </c>
      <c r="LV20" s="1137">
        <v>1222.86811420259</v>
      </c>
      <c r="LW20" s="1138">
        <v>953.72403649709895</v>
      </c>
      <c r="LX20" s="1138">
        <v>269.14407770548701</v>
      </c>
      <c r="LY20" s="1138">
        <v>357.72371700582602</v>
      </c>
      <c r="LZ20" s="1138">
        <v>48.159540736593101</v>
      </c>
      <c r="MA20" s="1139">
        <v>190.33355527664901</v>
      </c>
      <c r="MC20" s="169" t="s">
        <v>542</v>
      </c>
      <c r="MD20" s="703">
        <v>3.8830710000000002</v>
      </c>
      <c r="ME20" s="704">
        <v>35.585572999999997</v>
      </c>
      <c r="MF20" s="704">
        <v>122.46847699999999</v>
      </c>
      <c r="MG20" s="704">
        <v>297.05959000000001</v>
      </c>
      <c r="MH20" s="704">
        <v>297.26977499999998</v>
      </c>
      <c r="MI20" s="173">
        <v>227.670941</v>
      </c>
      <c r="MJ20" s="703">
        <v>0</v>
      </c>
      <c r="MK20" s="704">
        <v>65.056156258580359</v>
      </c>
      <c r="ML20" s="704">
        <v>117.76597761999616</v>
      </c>
      <c r="MM20" s="704">
        <v>229.6138506000087</v>
      </c>
      <c r="MN20" s="704">
        <v>352.97328866030045</v>
      </c>
      <c r="MO20" s="173">
        <v>169.37735979077482</v>
      </c>
      <c r="MP20" s="1137">
        <v>0</v>
      </c>
      <c r="MQ20" s="1138">
        <v>59.749675859424102</v>
      </c>
      <c r="MR20" s="1138">
        <v>207.486817453508</v>
      </c>
      <c r="MS20" s="1138">
        <v>233.33256464899</v>
      </c>
      <c r="MT20" s="1138">
        <v>296.7200616897</v>
      </c>
      <c r="MU20" s="1139">
        <v>154.43491481470701</v>
      </c>
      <c r="MW20" s="169" t="s">
        <v>542</v>
      </c>
      <c r="MX20" s="172">
        <v>990.83482700000002</v>
      </c>
      <c r="MY20" s="337">
        <v>904.09573</v>
      </c>
      <c r="MZ20" s="337">
        <v>86.739096000000004</v>
      </c>
      <c r="NA20" s="703">
        <v>956.69160212152565</v>
      </c>
      <c r="NB20" s="704">
        <v>852.47155048167963</v>
      </c>
      <c r="NC20" s="173">
        <v>104.22005163984603</v>
      </c>
      <c r="ND20" s="1137">
        <v>972.02073668069704</v>
      </c>
      <c r="NE20" s="1138">
        <v>871.40074799756997</v>
      </c>
      <c r="NF20" s="1139">
        <v>100.619988683127</v>
      </c>
      <c r="NH20" s="169" t="s">
        <v>542</v>
      </c>
      <c r="NI20" s="703">
        <v>662.4931492263579</v>
      </c>
      <c r="NJ20" s="173">
        <v>189.97840125532173</v>
      </c>
      <c r="NK20" s="703">
        <v>50.747506189411808</v>
      </c>
      <c r="NL20" s="704">
        <v>48.87191890378778</v>
      </c>
      <c r="NM20" s="173">
        <v>4.6006265466464598</v>
      </c>
      <c r="NN20" s="1137">
        <v>574.27218265153203</v>
      </c>
      <c r="NO20" s="1139">
        <v>297.12856534603782</v>
      </c>
      <c r="NP20" s="1137">
        <v>66.600459908369402</v>
      </c>
      <c r="NQ20" s="1138">
        <v>34.019528774757198</v>
      </c>
      <c r="NR20" s="1139">
        <v>0</v>
      </c>
      <c r="NS20" s="136"/>
      <c r="NT20" s="169" t="s">
        <v>542</v>
      </c>
      <c r="NU20" s="703">
        <v>119.57303622498192</v>
      </c>
      <c r="NV20" s="704">
        <v>25.146774694307311</v>
      </c>
      <c r="NW20" s="704">
        <v>1.0417128234850199</v>
      </c>
      <c r="NX20" s="173">
        <v>44.216877512547491</v>
      </c>
      <c r="NY20" s="1137">
        <v>196.56389489010201</v>
      </c>
      <c r="NZ20" s="1138">
        <v>28.424822021877599</v>
      </c>
      <c r="OA20" s="1138">
        <v>0</v>
      </c>
      <c r="OB20" s="1139">
        <v>72.139848434058194</v>
      </c>
      <c r="OC20" s="553"/>
      <c r="OD20" s="169" t="s">
        <v>542</v>
      </c>
      <c r="OE20" s="703">
        <v>76.502849773802893</v>
      </c>
      <c r="OF20" s="704">
        <v>106.718219793705</v>
      </c>
      <c r="OG20" s="704">
        <v>94.834847651751403</v>
      </c>
      <c r="OH20" s="704">
        <v>70.251393458577496</v>
      </c>
      <c r="OI20" s="704">
        <v>383.57991378645397</v>
      </c>
      <c r="OJ20" s="704">
        <v>54.186380195584803</v>
      </c>
      <c r="OK20" s="173">
        <v>36.003648956935898</v>
      </c>
      <c r="OL20" s="703">
        <v>105.09187728322701</v>
      </c>
      <c r="OM20" s="704">
        <v>108.92785518762599</v>
      </c>
      <c r="ON20" s="704">
        <v>95.939665348712097</v>
      </c>
      <c r="OO20" s="704">
        <v>73.990874028194</v>
      </c>
      <c r="OP20" s="704">
        <v>475.60894392664801</v>
      </c>
      <c r="OQ20" s="704">
        <v>249.86510366762701</v>
      </c>
      <c r="OR20" s="173">
        <v>1441.53091581236</v>
      </c>
      <c r="OT20" s="169" t="s">
        <v>542</v>
      </c>
      <c r="OU20" s="172">
        <v>635.930699</v>
      </c>
      <c r="OV20" s="337">
        <v>323.211275</v>
      </c>
      <c r="OW20" s="337">
        <v>228.270422</v>
      </c>
      <c r="OX20" s="173">
        <v>445.23510199999998</v>
      </c>
      <c r="OY20" s="703">
        <v>583.01044062807409</v>
      </c>
      <c r="OZ20" s="704">
        <v>354.62692846063601</v>
      </c>
      <c r="PA20" s="704">
        <v>254.60147405765207</v>
      </c>
      <c r="PB20" s="173">
        <v>485.60553568846979</v>
      </c>
      <c r="PC20" s="1137">
        <v>466.85458976111295</v>
      </c>
      <c r="PD20" s="1138">
        <v>350.59950767436499</v>
      </c>
      <c r="PE20" s="1138">
        <v>266.74187231774999</v>
      </c>
      <c r="PF20" s="1139">
        <v>612.77853128405093</v>
      </c>
      <c r="PH20" s="169" t="s">
        <v>542</v>
      </c>
      <c r="PI20" s="703">
        <v>168.7106404564291</v>
      </c>
      <c r="PJ20" s="704">
        <v>202.95553193597101</v>
      </c>
      <c r="PK20" s="704">
        <v>131.91066597061399</v>
      </c>
      <c r="PL20" s="173">
        <v>258.90476951001313</v>
      </c>
      <c r="PM20" s="703">
        <v>298.14394930468399</v>
      </c>
      <c r="PN20" s="704">
        <v>147.643975738394</v>
      </c>
      <c r="PO20" s="704">
        <v>134.831206347136</v>
      </c>
      <c r="PP20" s="173">
        <v>353.87376177403792</v>
      </c>
      <c r="PQ20" s="65"/>
      <c r="PR20" s="169" t="s">
        <v>542</v>
      </c>
      <c r="PS20" s="1038">
        <v>28.7146616249209</v>
      </c>
      <c r="PT20" s="1039">
        <v>163.75609418558301</v>
      </c>
      <c r="PU20" s="1039">
        <v>91.177996043017203</v>
      </c>
      <c r="PV20" s="1039">
        <v>18.939487146273301</v>
      </c>
      <c r="PW20" s="1039">
        <v>461.06471745012499</v>
      </c>
      <c r="PX20" s="1040">
        <v>206.367778200007</v>
      </c>
      <c r="PZ20" s="169" t="s">
        <v>542</v>
      </c>
      <c r="QA20" s="1038">
        <v>712.42681527278603</v>
      </c>
      <c r="QB20" s="1039">
        <v>259.59392140791101</v>
      </c>
      <c r="QC20" s="1039">
        <v>203.86136460240701</v>
      </c>
      <c r="QD20" s="1039">
        <v>28.031887876492402</v>
      </c>
      <c r="QE20" s="1039">
        <v>27.7006689290114</v>
      </c>
      <c r="QF20" s="1040">
        <v>0</v>
      </c>
    </row>
    <row r="21" spans="1:448" ht="13.5" customHeight="1">
      <c r="A21" s="591" t="s">
        <v>486</v>
      </c>
      <c r="B21" s="167" t="s">
        <v>543</v>
      </c>
      <c r="C21" s="1103">
        <v>2989.3192359999998</v>
      </c>
      <c r="D21" s="690">
        <v>3175.75492210319</v>
      </c>
      <c r="E21" s="691">
        <v>3252.81322994839</v>
      </c>
      <c r="F21" s="428"/>
      <c r="G21" s="169" t="s">
        <v>543</v>
      </c>
      <c r="H21" s="577">
        <f t="shared" si="5"/>
        <v>1.2173439131707653E-2</v>
      </c>
      <c r="I21" s="668">
        <f t="shared" si="6"/>
        <v>4.806485532898197E-3</v>
      </c>
      <c r="J21" s="612"/>
      <c r="K21" s="63"/>
      <c r="L21" s="167" t="s">
        <v>543</v>
      </c>
      <c r="M21" s="636">
        <v>33</v>
      </c>
      <c r="N21" s="637">
        <v>45</v>
      </c>
      <c r="O21" s="637">
        <v>46</v>
      </c>
      <c r="P21" s="637">
        <v>32</v>
      </c>
      <c r="Q21" s="637">
        <v>33</v>
      </c>
      <c r="R21" s="637">
        <v>30</v>
      </c>
      <c r="S21" s="637">
        <v>36</v>
      </c>
      <c r="T21" s="637">
        <v>21</v>
      </c>
      <c r="U21" s="1138">
        <v>23</v>
      </c>
      <c r="V21" s="1138">
        <v>25</v>
      </c>
      <c r="W21" s="1139">
        <v>13</v>
      </c>
      <c r="X21" s="169" t="s">
        <v>543</v>
      </c>
      <c r="Y21" s="666">
        <v>39</v>
      </c>
      <c r="Z21" s="667">
        <v>39</v>
      </c>
      <c r="AA21" s="667">
        <v>31.5</v>
      </c>
      <c r="AB21" s="667">
        <v>28.5</v>
      </c>
      <c r="AC21" s="667">
        <v>28.5</v>
      </c>
      <c r="AD21" s="668">
        <v>0</v>
      </c>
      <c r="AE21" s="668">
        <v>-0.19230769230769232</v>
      </c>
      <c r="AF21" s="668">
        <v>-9.5238095238095233E-2</v>
      </c>
      <c r="AG21" s="1213">
        <v>-0.19230769230769232</v>
      </c>
      <c r="AN21" s="169" t="s">
        <v>543</v>
      </c>
      <c r="AO21" s="636">
        <v>0</v>
      </c>
      <c r="AP21" s="637">
        <v>53.221438999999997</v>
      </c>
      <c r="AQ21" s="637">
        <v>313.09601800000002</v>
      </c>
      <c r="AR21" s="637">
        <v>478.75775599999997</v>
      </c>
      <c r="AS21" s="637">
        <v>298.92876799999999</v>
      </c>
      <c r="AT21" s="637">
        <v>204.439291</v>
      </c>
      <c r="AU21" s="637">
        <v>656.78556500000002</v>
      </c>
      <c r="AV21" s="173">
        <v>677.73979799999995</v>
      </c>
      <c r="AW21" s="636">
        <v>0</v>
      </c>
      <c r="AX21" s="637">
        <v>31.879331105061659</v>
      </c>
      <c r="AY21" s="637">
        <v>437.76291765691229</v>
      </c>
      <c r="AZ21" s="637">
        <v>455.80302669358258</v>
      </c>
      <c r="BA21" s="637">
        <v>390.45408771315488</v>
      </c>
      <c r="BB21" s="637">
        <v>184.29309232799716</v>
      </c>
      <c r="BC21" s="637">
        <v>663.97354828159951</v>
      </c>
      <c r="BD21" s="173">
        <v>625.35511897676201</v>
      </c>
      <c r="BE21" s="1137">
        <v>0</v>
      </c>
      <c r="BF21" s="1138">
        <v>42.418834656449</v>
      </c>
      <c r="BG21" s="1138">
        <v>388.04983609297398</v>
      </c>
      <c r="BH21" s="1138">
        <v>409.44332637674</v>
      </c>
      <c r="BI21" s="1138">
        <v>426.73265638579397</v>
      </c>
      <c r="BJ21" s="1138">
        <v>183.37790316914001</v>
      </c>
      <c r="BK21" s="1138">
        <v>669.30275060705196</v>
      </c>
      <c r="BL21" s="1139">
        <v>683.05230702110896</v>
      </c>
      <c r="BN21" s="169" t="s">
        <v>543</v>
      </c>
      <c r="BO21" s="647">
        <v>315.35058900000001</v>
      </c>
      <c r="BP21" s="648">
        <v>1147.4251320000001</v>
      </c>
      <c r="BQ21" s="648">
        <v>428.95520399999998</v>
      </c>
      <c r="BR21" s="648">
        <v>446.365387</v>
      </c>
      <c r="BS21" s="648">
        <v>320.42138799999998</v>
      </c>
      <c r="BT21" s="173">
        <v>330.801536</v>
      </c>
      <c r="BU21" s="647">
        <v>384.23380091114512</v>
      </c>
      <c r="BV21" s="648">
        <v>1043.9988628445806</v>
      </c>
      <c r="BW21" s="648">
        <v>594.51129703156505</v>
      </c>
      <c r="BX21" s="648">
        <v>413.63987989432309</v>
      </c>
      <c r="BY21" s="648">
        <v>343.11816126913868</v>
      </c>
      <c r="BZ21" s="173">
        <v>396.25292015243741</v>
      </c>
      <c r="CA21" s="1137">
        <v>450.43561563913499</v>
      </c>
      <c r="CB21" s="1138">
        <v>996.34035793881799</v>
      </c>
      <c r="CC21" s="1138">
        <v>580.21512185813697</v>
      </c>
      <c r="CD21" s="1138">
        <v>453.15386014642598</v>
      </c>
      <c r="CE21" s="1138">
        <v>315.64608492993898</v>
      </c>
      <c r="CF21" s="1139">
        <v>457.02218943593903</v>
      </c>
      <c r="CG21" s="429"/>
      <c r="CH21" s="169" t="s">
        <v>543</v>
      </c>
      <c r="CI21" s="172">
        <v>602.38840600000003</v>
      </c>
      <c r="CJ21" s="337">
        <v>1854.1331829999999</v>
      </c>
      <c r="CK21" s="337">
        <v>532.79764699999998</v>
      </c>
      <c r="CL21" s="647">
        <v>690.01523293010985</v>
      </c>
      <c r="CM21" s="648">
        <v>1899.6692521360385</v>
      </c>
      <c r="CN21" s="648">
        <v>586.07043703704164</v>
      </c>
      <c r="CO21" s="1137">
        <v>729.47974017304296</v>
      </c>
      <c r="CP21" s="1138">
        <v>1869.63955823832</v>
      </c>
      <c r="CQ21" s="1139">
        <v>653.69393153702697</v>
      </c>
      <c r="CR21" s="433"/>
      <c r="CS21" s="231" t="s">
        <v>642</v>
      </c>
      <c r="CT21" s="241">
        <f t="shared" ref="CT21:CT26" si="20">0-(CT9/SUM(CT$9:CT$14))</f>
        <v>-6.7524967171198644E-2</v>
      </c>
      <c r="CU21" s="236">
        <f t="shared" ref="CU21:CU26" si="21">CU9/SUM(CU$9:CU$14)</f>
        <v>7.076907014759147E-2</v>
      </c>
      <c r="CV21" s="236">
        <f t="shared" ref="CV21:CV26" si="22">0-(CV9/SUM(CV$9:CV$14))</f>
        <v>-0.14741853183497505</v>
      </c>
      <c r="CW21" s="237">
        <f t="shared" ref="CW21:CW26" si="23">CW9/SUM(CW$9:CW$14)</f>
        <v>0.10979723979202265</v>
      </c>
      <c r="CX21" s="241">
        <f t="shared" ref="CX21:CX26" si="24">0-(CX9/SUM(CX$9:CX$14))</f>
        <v>-6.5105811379914905E-2</v>
      </c>
      <c r="CY21" s="236">
        <f t="shared" ref="CY21:CY26" si="25">CY9/SUM(CY$9:CY$14)</f>
        <v>7.1758163008696196E-2</v>
      </c>
      <c r="CZ21" s="236">
        <f t="shared" ref="CZ21:CZ26" si="26">0-(CZ9/SUM(CZ$9:CZ$14))</f>
        <v>-0.13837804408443874</v>
      </c>
      <c r="DA21" s="237">
        <f t="shared" ref="DA21:DA26" si="27">DA9/SUM(DA$9:DA$14)</f>
        <v>0.1360908181240236</v>
      </c>
      <c r="DB21" s="241">
        <f t="shared" ref="DB21:DB26" si="28">0-(DB9/SUM(DB$9:DB$14))</f>
        <v>-7.1653996075450088E-2</v>
      </c>
      <c r="DC21" s="236">
        <f t="shared" ref="DC21:DC26" si="29">DC9/SUM(DC$9:DC$14)</f>
        <v>7.1058135501140055E-2</v>
      </c>
      <c r="DD21" s="236">
        <f t="shared" ref="DD21:DD26" si="30">0-(DD9/SUM(DD$9:DD$14))</f>
        <v>-0.13655710998689213</v>
      </c>
      <c r="DE21" s="237">
        <f t="shared" ref="DE21:DE26" si="31">DE9/SUM(DE$9:DE$14)</f>
        <v>0.11908762257714486</v>
      </c>
      <c r="DG21" s="169" t="s">
        <v>543</v>
      </c>
      <c r="DH21" s="1147" t="s">
        <v>737</v>
      </c>
      <c r="DI21" s="1150" t="s">
        <v>831</v>
      </c>
      <c r="DJ21" s="704" t="s">
        <v>832</v>
      </c>
      <c r="DK21" s="704" t="s">
        <v>833</v>
      </c>
      <c r="DL21" s="337" t="s">
        <v>834</v>
      </c>
      <c r="DM21" s="174" t="s">
        <v>835</v>
      </c>
      <c r="DN21" s="451"/>
      <c r="DO21" s="167" t="s">
        <v>543</v>
      </c>
      <c r="DP21" s="704">
        <v>1775.025909</v>
      </c>
      <c r="DQ21" s="337">
        <v>1871.5823537966728</v>
      </c>
      <c r="DR21" s="1139">
        <v>1860.2138032668299</v>
      </c>
      <c r="DS21" s="63"/>
      <c r="DT21" s="169" t="s">
        <v>543</v>
      </c>
      <c r="DU21" s="172">
        <v>2878.319371</v>
      </c>
      <c r="DV21" s="337">
        <v>3041.755026825896</v>
      </c>
      <c r="DW21" s="1139">
        <v>3137.8131131791201</v>
      </c>
      <c r="DX21" s="63"/>
      <c r="DY21" s="169" t="s">
        <v>543</v>
      </c>
      <c r="DZ21" s="1089">
        <f t="shared" si="0"/>
        <v>1.621564708664768</v>
      </c>
      <c r="EA21" s="787">
        <f t="shared" si="1"/>
        <v>1.6252317300681014</v>
      </c>
      <c r="EB21" s="776">
        <f t="shared" si="2"/>
        <v>1.6868024028574691</v>
      </c>
      <c r="EC21" s="55"/>
      <c r="ED21" s="541"/>
      <c r="EE21" s="169" t="s">
        <v>543</v>
      </c>
      <c r="EF21" s="735">
        <v>1070.3449439999999</v>
      </c>
      <c r="EG21" s="736">
        <v>78.838669999999993</v>
      </c>
      <c r="EH21" s="736">
        <v>362.27883000000003</v>
      </c>
      <c r="EI21" s="736">
        <v>171.688973</v>
      </c>
      <c r="EJ21" s="736">
        <v>91.874492000000004</v>
      </c>
      <c r="EK21" s="703">
        <v>1145.6881503587774</v>
      </c>
      <c r="EL21" s="704">
        <v>71.049148734305135</v>
      </c>
      <c r="EM21" s="704">
        <v>319.43748812701563</v>
      </c>
      <c r="EN21" s="704">
        <v>212.34289320550812</v>
      </c>
      <c r="EO21" s="704">
        <v>123.06467337106655</v>
      </c>
      <c r="EP21" s="1137">
        <v>1111.0577772889101</v>
      </c>
      <c r="EQ21" s="1138">
        <v>68.846001402595803</v>
      </c>
      <c r="ER21" s="1138">
        <v>294.98086036330102</v>
      </c>
      <c r="ES21" s="1138">
        <v>185.70269784045499</v>
      </c>
      <c r="ET21" s="1139">
        <v>199.626466371563</v>
      </c>
      <c r="EV21" s="169" t="s">
        <v>543</v>
      </c>
      <c r="EW21" s="703">
        <v>434.83671099999998</v>
      </c>
      <c r="EX21" s="704">
        <v>327.12266799999998</v>
      </c>
      <c r="EY21" s="704">
        <v>227.42436000000001</v>
      </c>
      <c r="EZ21" s="704">
        <v>80.961205000000007</v>
      </c>
      <c r="FA21" s="703">
        <v>870.38689899999997</v>
      </c>
      <c r="FB21" s="704">
        <v>990.38951799999995</v>
      </c>
      <c r="FC21" s="704">
        <v>562.40827200000001</v>
      </c>
      <c r="FD21" s="704">
        <v>130.78410500000001</v>
      </c>
      <c r="FE21" s="703">
        <v>388.27520610516535</v>
      </c>
      <c r="FF21" s="704">
        <v>370.25221755792978</v>
      </c>
      <c r="FG21" s="704">
        <v>236.45128492743828</v>
      </c>
      <c r="FH21" s="173">
        <v>150.70944176824386</v>
      </c>
      <c r="FI21" s="703">
        <v>733.5546620715163</v>
      </c>
      <c r="FJ21" s="704">
        <v>1148.1812172053783</v>
      </c>
      <c r="FK21" s="746">
        <v>556.66453027869443</v>
      </c>
      <c r="FL21" s="747">
        <v>223.12081323311085</v>
      </c>
      <c r="FM21" s="1137">
        <v>335.77883915399599</v>
      </c>
      <c r="FN21" s="1138">
        <v>374.46384129170002</v>
      </c>
      <c r="FO21" s="1138">
        <v>225.47500535018301</v>
      </c>
      <c r="FP21" s="1139">
        <v>175.34009149303401</v>
      </c>
      <c r="FQ21" s="1137">
        <v>718.40972443078499</v>
      </c>
      <c r="FR21" s="1138">
        <v>1128.9194532153399</v>
      </c>
      <c r="FS21" s="1138">
        <v>561.61648566902397</v>
      </c>
      <c r="FT21" s="1139">
        <v>278.43183422482798</v>
      </c>
      <c r="FV21" s="167" t="s">
        <v>543</v>
      </c>
      <c r="FW21" s="337">
        <v>371.06936200000001</v>
      </c>
      <c r="FX21" s="337">
        <v>118.15642800000001</v>
      </c>
      <c r="FY21" s="337">
        <v>95.575390999999996</v>
      </c>
      <c r="FZ21" s="173">
        <v>41.041115000000005</v>
      </c>
      <c r="GA21" s="703">
        <v>336.290374369343</v>
      </c>
      <c r="GB21" s="704">
        <v>171.23249366215401</v>
      </c>
      <c r="GC21" s="704">
        <v>103.65379954881222</v>
      </c>
      <c r="GD21" s="173">
        <v>43.66838712328105</v>
      </c>
      <c r="GE21" s="1137">
        <v>324.643093005136</v>
      </c>
      <c r="GF21" s="1138">
        <v>173.79038941234199</v>
      </c>
      <c r="GG21" s="1138">
        <v>111.90703395057101</v>
      </c>
      <c r="GH21" s="1139">
        <v>73.274817826338506</v>
      </c>
      <c r="GJ21" s="169" t="s">
        <v>543</v>
      </c>
      <c r="GK21" s="703">
        <v>1987.997838</v>
      </c>
      <c r="GL21" s="704">
        <v>2071.4985365519078</v>
      </c>
      <c r="GM21" s="1139">
        <v>2098.0018888313102</v>
      </c>
      <c r="GO21" s="169" t="s">
        <v>543</v>
      </c>
      <c r="GP21" s="703">
        <v>1772.0259129999999</v>
      </c>
      <c r="GQ21" s="704">
        <v>28.549496999999999</v>
      </c>
      <c r="GR21" s="173">
        <v>187.422428</v>
      </c>
      <c r="GS21" s="703">
        <v>1872.5823530151599</v>
      </c>
      <c r="GT21" s="704">
        <v>33.841124047022276</v>
      </c>
      <c r="GU21" s="173">
        <v>165.07505948972502</v>
      </c>
      <c r="GV21" s="1137">
        <v>1860.2138032668299</v>
      </c>
      <c r="GW21" s="1138">
        <v>60.075395356249999</v>
      </c>
      <c r="GX21" s="1139">
        <v>177.71269020823101</v>
      </c>
      <c r="GZ21" s="169" t="s">
        <v>543</v>
      </c>
      <c r="HA21" s="172">
        <v>348.20773300000002</v>
      </c>
      <c r="HB21" s="337">
        <v>1635.543463</v>
      </c>
      <c r="HC21" s="173">
        <f t="shared" si="7"/>
        <v>4.2466420000000653</v>
      </c>
      <c r="HD21" s="703">
        <v>314.27165104059071</v>
      </c>
      <c r="HE21" s="704">
        <v>1752.029347102557</v>
      </c>
      <c r="HF21" s="173">
        <f t="shared" si="8"/>
        <v>5.1975384087600105</v>
      </c>
      <c r="HG21" s="583">
        <v>300.69204867774602</v>
      </c>
      <c r="HH21" s="1138">
        <v>1779.7407029630399</v>
      </c>
      <c r="HI21" s="173">
        <f t="shared" si="9"/>
        <v>17.569137190524543</v>
      </c>
      <c r="HK21" s="169" t="s">
        <v>543</v>
      </c>
      <c r="HL21" s="704">
        <v>1772.0259129999999</v>
      </c>
      <c r="HM21" s="704">
        <v>5025.8090579999998</v>
      </c>
      <c r="HN21" s="776">
        <f t="shared" si="10"/>
        <v>2.8361938847109851</v>
      </c>
      <c r="HO21" s="703">
        <v>1872.5823530151599</v>
      </c>
      <c r="HP21" s="704">
        <v>5358.4368003433692</v>
      </c>
      <c r="HQ21" s="776">
        <f t="shared" si="11"/>
        <v>2.861522641028535</v>
      </c>
      <c r="HR21" s="1138">
        <v>1860.2138032668299</v>
      </c>
      <c r="HS21" s="1138">
        <v>5543.0002092875502</v>
      </c>
      <c r="HT21" s="784">
        <f t="shared" si="12"/>
        <v>2.9797651213818348</v>
      </c>
      <c r="HV21" s="169" t="s">
        <v>543</v>
      </c>
      <c r="HW21" s="172">
        <v>321.99551400000001</v>
      </c>
      <c r="HX21" s="337">
        <v>1541.328972</v>
      </c>
      <c r="HY21" s="787">
        <f t="shared" si="13"/>
        <v>4.7868026260763372</v>
      </c>
      <c r="HZ21" s="704">
        <v>1445.783756</v>
      </c>
      <c r="IA21" s="704">
        <v>3477.0484620000002</v>
      </c>
      <c r="IB21" s="787">
        <f t="shared" si="14"/>
        <v>2.4049574824521684</v>
      </c>
      <c r="IC21" s="703">
        <v>298.03284122862033</v>
      </c>
      <c r="ID21" s="704">
        <v>1376.1464960635788</v>
      </c>
      <c r="IE21" s="787">
        <f t="shared" si="15"/>
        <v>4.6174323956732666</v>
      </c>
      <c r="IF21" s="704">
        <v>1569.35197337778</v>
      </c>
      <c r="IG21" s="704">
        <v>3977.0927658710311</v>
      </c>
      <c r="IH21" s="776">
        <f t="shared" si="16"/>
        <v>2.5342261222069724</v>
      </c>
      <c r="II21" s="1137">
        <v>273.98271195566599</v>
      </c>
      <c r="IJ21" s="1138">
        <v>1228.5556338235699</v>
      </c>
      <c r="IK21" s="1170">
        <f t="shared" si="17"/>
        <v>4.48406260765229</v>
      </c>
      <c r="IL21" s="1138">
        <v>1568.6619541206401</v>
      </c>
      <c r="IM21" s="1138">
        <v>4283.5916804775698</v>
      </c>
      <c r="IN21" s="1171">
        <f t="shared" si="18"/>
        <v>2.7307296318529404</v>
      </c>
      <c r="IP21" s="169" t="s">
        <v>543</v>
      </c>
      <c r="IQ21" s="703">
        <v>421.27598599999999</v>
      </c>
      <c r="IR21" s="704">
        <v>404.74946699999998</v>
      </c>
      <c r="IS21" s="704">
        <v>395.88553100000001</v>
      </c>
      <c r="IT21" s="704">
        <v>324.434371</v>
      </c>
      <c r="IU21" s="704">
        <v>225.68055699999999</v>
      </c>
      <c r="IV21" s="704">
        <v>5025.8090579999998</v>
      </c>
      <c r="IW21" s="703">
        <v>355.30491685049753</v>
      </c>
      <c r="IX21" s="704">
        <v>510.84740072692802</v>
      </c>
      <c r="IY21" s="704">
        <v>427.85822541649122</v>
      </c>
      <c r="IZ21" s="704">
        <v>345.79364139532271</v>
      </c>
      <c r="JA21" s="704">
        <v>232.77816862592061</v>
      </c>
      <c r="JB21" s="173">
        <v>5358.4368003433692</v>
      </c>
      <c r="JC21" s="1137">
        <v>256.61088465051103</v>
      </c>
      <c r="JD21" s="1138">
        <v>496.55132283562801</v>
      </c>
      <c r="JE21" s="1138">
        <v>498.64753659821702</v>
      </c>
      <c r="JF21" s="1138">
        <v>362.49066211008602</v>
      </c>
      <c r="JG21" s="1138">
        <v>245.913397072386</v>
      </c>
      <c r="JH21" s="1139">
        <v>5543.0002092875502</v>
      </c>
      <c r="JJ21" s="169" t="s">
        <v>543</v>
      </c>
      <c r="JK21" s="172">
        <v>554.430744</v>
      </c>
      <c r="JL21" s="337">
        <v>944.98378900000012</v>
      </c>
      <c r="JM21" s="337">
        <v>233.26370600000001</v>
      </c>
      <c r="JN21" s="173">
        <v>39.347673</v>
      </c>
      <c r="JO21" s="703">
        <v>621.78157977650426</v>
      </c>
      <c r="JP21" s="704">
        <v>864.04570383030773</v>
      </c>
      <c r="JQ21" s="704">
        <v>355.26363070052929</v>
      </c>
      <c r="JR21" s="173">
        <v>31.491438707818475</v>
      </c>
      <c r="JS21" s="1137">
        <v>582.959190713059</v>
      </c>
      <c r="JT21" s="1138">
        <v>846.96903364557102</v>
      </c>
      <c r="JU21" s="1138">
        <v>413.55740406124897</v>
      </c>
      <c r="JV21" s="1139">
        <v>16.7281748469543</v>
      </c>
      <c r="JX21" s="169" t="s">
        <v>543</v>
      </c>
      <c r="JY21" s="703">
        <v>412.02701904476402</v>
      </c>
      <c r="JZ21" s="704">
        <v>549.63367089831002</v>
      </c>
      <c r="KA21" s="704">
        <v>267.78728565294102</v>
      </c>
      <c r="KB21" s="173">
        <v>630.765827670813</v>
      </c>
      <c r="KC21" s="603"/>
      <c r="KD21" s="169" t="s">
        <v>543</v>
      </c>
      <c r="KE21" s="703">
        <v>9.9841578050449993</v>
      </c>
      <c r="KF21" s="704">
        <v>29.3160759557889</v>
      </c>
      <c r="KG21" s="704">
        <v>394.89017617604799</v>
      </c>
      <c r="KH21" s="704">
        <v>542.42460197500395</v>
      </c>
      <c r="KI21" s="704">
        <v>407.62245801067701</v>
      </c>
      <c r="KJ21" s="173">
        <v>183.45462883353699</v>
      </c>
      <c r="KK21" s="703">
        <v>86.204235698259595</v>
      </c>
      <c r="KL21" s="704">
        <v>85.164350669872405</v>
      </c>
      <c r="KM21" s="704">
        <v>48.865338306113799</v>
      </c>
      <c r="KN21" s="704">
        <v>27.1387524100547</v>
      </c>
      <c r="KO21" s="704">
        <v>16.603240508151401</v>
      </c>
      <c r="KP21" s="173">
        <v>10.0067943632138</v>
      </c>
      <c r="KQ21" s="703">
        <v>96.188393503304596</v>
      </c>
      <c r="KR21" s="704">
        <v>117.79595065577099</v>
      </c>
      <c r="KS21" s="704">
        <v>451.30764289843501</v>
      </c>
      <c r="KT21" s="704">
        <v>569.56335438505903</v>
      </c>
      <c r="KU21" s="704">
        <v>430.92718326297302</v>
      </c>
      <c r="KV21" s="173">
        <v>193.46142319675101</v>
      </c>
      <c r="KW21" s="429"/>
      <c r="KX21" s="169" t="s">
        <v>543</v>
      </c>
      <c r="KY21" s="172">
        <f t="shared" si="19"/>
        <v>547.95744999999988</v>
      </c>
      <c r="KZ21" s="337">
        <v>932.26190499999996</v>
      </c>
      <c r="LA21" s="173">
        <v>294.80655400000001</v>
      </c>
      <c r="LB21" s="172">
        <f t="shared" si="3"/>
        <v>562.24577212804661</v>
      </c>
      <c r="LC21" s="704">
        <v>1087.9843632861202</v>
      </c>
      <c r="LD21" s="173">
        <v>221.35221838250598</v>
      </c>
      <c r="LE21" s="172">
        <f t="shared" si="4"/>
        <v>526.05287498444613</v>
      </c>
      <c r="LF21" s="1138">
        <v>1115.1167307610599</v>
      </c>
      <c r="LG21" s="1139">
        <v>219.04419752132401</v>
      </c>
      <c r="LH21" s="426"/>
      <c r="LI21" s="169" t="s">
        <v>543</v>
      </c>
      <c r="LJ21" s="703">
        <v>1351.4837789999999</v>
      </c>
      <c r="LK21" s="704">
        <v>1237.7801870000001</v>
      </c>
      <c r="LL21" s="704">
        <v>113.703592</v>
      </c>
      <c r="LM21" s="704">
        <v>563.410889</v>
      </c>
      <c r="LN21" s="704">
        <v>134.58302699999999</v>
      </c>
      <c r="LO21" s="173">
        <v>91.693306000000007</v>
      </c>
      <c r="LP21" s="703">
        <v>1511.3803624154541</v>
      </c>
      <c r="LQ21" s="704">
        <v>1286.275663646441</v>
      </c>
      <c r="LR21" s="704">
        <v>225.10469876901297</v>
      </c>
      <c r="LS21" s="704">
        <v>488.69005670813931</v>
      </c>
      <c r="LT21" s="704">
        <v>97.800181408320043</v>
      </c>
      <c r="LU21" s="173">
        <v>107.58008362308983</v>
      </c>
      <c r="LV21" s="1137">
        <v>1479.8506007747999</v>
      </c>
      <c r="LW21" s="1138">
        <v>1254.2070121566701</v>
      </c>
      <c r="LX21" s="1138">
        <v>225.64358861813</v>
      </c>
      <c r="LY21" s="1138">
        <v>485.49960882183399</v>
      </c>
      <c r="LZ21" s="1138">
        <v>89.292632470756004</v>
      </c>
      <c r="MA21" s="1139">
        <v>94.040840704842097</v>
      </c>
      <c r="MC21" s="169" t="s">
        <v>543</v>
      </c>
      <c r="MD21" s="703">
        <v>0</v>
      </c>
      <c r="ME21" s="704">
        <v>48.689737999999998</v>
      </c>
      <c r="MF21" s="704">
        <v>304.70378699999998</v>
      </c>
      <c r="MG21" s="704">
        <v>434.02101900000002</v>
      </c>
      <c r="MH21" s="704">
        <v>272.90447599999999</v>
      </c>
      <c r="MI21" s="173">
        <v>178.46116599999999</v>
      </c>
      <c r="MJ21" s="703">
        <v>0</v>
      </c>
      <c r="MK21" s="704">
        <v>25.689606994931133</v>
      </c>
      <c r="ML21" s="704">
        <v>413.10183567473081</v>
      </c>
      <c r="MM21" s="704">
        <v>394.8480334747311</v>
      </c>
      <c r="MN21" s="704">
        <v>302.78260617439952</v>
      </c>
      <c r="MO21" s="173">
        <v>151.85357976462305</v>
      </c>
      <c r="MP21" s="1137">
        <v>0</v>
      </c>
      <c r="MQ21" s="1138">
        <v>33.930485300964698</v>
      </c>
      <c r="MR21" s="1138">
        <v>369.14000025031299</v>
      </c>
      <c r="MS21" s="1138">
        <v>382.31626605775301</v>
      </c>
      <c r="MT21" s="1138">
        <v>317.150775715159</v>
      </c>
      <c r="MU21" s="1139">
        <v>147.669480770939</v>
      </c>
      <c r="MW21" s="169" t="s">
        <v>543</v>
      </c>
      <c r="MX21" s="172">
        <v>1241.2502280000001</v>
      </c>
      <c r="MY21" s="337">
        <v>1131.3415050000001</v>
      </c>
      <c r="MZ21" s="337">
        <v>109.90872299999999</v>
      </c>
      <c r="NA21" s="703">
        <v>1296.0802495821806</v>
      </c>
      <c r="NB21" s="704">
        <v>1163.9697450239794</v>
      </c>
      <c r="NC21" s="173">
        <v>132.11050455820114</v>
      </c>
      <c r="ND21" s="1137">
        <v>1274.2773327289001</v>
      </c>
      <c r="NE21" s="1138">
        <v>1140.3022571751101</v>
      </c>
      <c r="NF21" s="1139">
        <v>133.97507555378601</v>
      </c>
      <c r="NH21" s="169" t="s">
        <v>543</v>
      </c>
      <c r="NI21" s="703">
        <v>872.52167655132587</v>
      </c>
      <c r="NJ21" s="173">
        <v>291.44806847265357</v>
      </c>
      <c r="NK21" s="703">
        <v>56.248873559180751</v>
      </c>
      <c r="NL21" s="704">
        <v>73.932287902174025</v>
      </c>
      <c r="NM21" s="173">
        <v>1.9293430968463561</v>
      </c>
      <c r="NN21" s="1137">
        <v>869.88674135612803</v>
      </c>
      <c r="NO21" s="1139">
        <v>270.41551581898148</v>
      </c>
      <c r="NP21" s="1137">
        <v>81.866409357950104</v>
      </c>
      <c r="NQ21" s="1138">
        <v>47.7982272037329</v>
      </c>
      <c r="NR21" s="1139">
        <v>4.3104389921026902</v>
      </c>
      <c r="NS21" s="136"/>
      <c r="NT21" s="169" t="s">
        <v>543</v>
      </c>
      <c r="NU21" s="703">
        <v>166.20312071949235</v>
      </c>
      <c r="NV21" s="704">
        <v>28.359724178347548</v>
      </c>
      <c r="NW21" s="704">
        <v>5.1827243450966964</v>
      </c>
      <c r="NX21" s="173">
        <v>91.702499229716992</v>
      </c>
      <c r="NY21" s="1137">
        <v>143.83547661623101</v>
      </c>
      <c r="NZ21" s="1138">
        <v>36.731313699518303</v>
      </c>
      <c r="OA21" s="1138">
        <v>1.0193024662341199</v>
      </c>
      <c r="OB21" s="1139">
        <v>88.829423036998094</v>
      </c>
      <c r="OC21" s="553"/>
      <c r="OD21" s="169" t="s">
        <v>543</v>
      </c>
      <c r="OE21" s="703">
        <v>85.614855925722495</v>
      </c>
      <c r="OF21" s="704">
        <v>132.109299249683</v>
      </c>
      <c r="OG21" s="704">
        <v>127.739811054573</v>
      </c>
      <c r="OH21" s="704">
        <v>110.521553793386</v>
      </c>
      <c r="OI21" s="704">
        <v>503.39786313187602</v>
      </c>
      <c r="OJ21" s="704">
        <v>58.034935127872501</v>
      </c>
      <c r="OK21" s="173">
        <v>31.210073649488201</v>
      </c>
      <c r="OL21" s="703">
        <v>112.513844296694</v>
      </c>
      <c r="OM21" s="704">
        <v>133.128601715917</v>
      </c>
      <c r="ON21" s="704">
        <v>127.739811054573</v>
      </c>
      <c r="OO21" s="704">
        <v>116.89698208748101</v>
      </c>
      <c r="OP21" s="704">
        <v>606.51274742022895</v>
      </c>
      <c r="OQ21" s="704">
        <v>272.930628431108</v>
      </c>
      <c r="OR21" s="173">
        <v>1806.03725637044</v>
      </c>
      <c r="OT21" s="169" t="s">
        <v>543</v>
      </c>
      <c r="OU21" s="172">
        <v>410.68552199999999</v>
      </c>
      <c r="OV21" s="337">
        <v>338.589583</v>
      </c>
      <c r="OW21" s="337">
        <v>330.32874500000003</v>
      </c>
      <c r="OX21" s="173">
        <v>826.89066500000001</v>
      </c>
      <c r="OY21" s="703">
        <v>574.86105974846225</v>
      </c>
      <c r="OZ21" s="704">
        <v>295.07015381326335</v>
      </c>
      <c r="PA21" s="704">
        <v>356.43924765157203</v>
      </c>
      <c r="PB21" s="173">
        <v>852.03532074803115</v>
      </c>
      <c r="PC21" s="1137">
        <v>495.93475860554304</v>
      </c>
      <c r="PD21" s="1138">
        <v>310.06419533741098</v>
      </c>
      <c r="PE21" s="1138">
        <v>394.025844470945</v>
      </c>
      <c r="PF21" s="1139">
        <v>899.1883901927381</v>
      </c>
      <c r="PH21" s="169" t="s">
        <v>543</v>
      </c>
      <c r="PI21" s="703">
        <v>192.65304915702379</v>
      </c>
      <c r="PJ21" s="704">
        <v>174.26350432338401</v>
      </c>
      <c r="PK21" s="704">
        <v>165.342435593353</v>
      </c>
      <c r="PL21" s="173">
        <v>377.2767218607737</v>
      </c>
      <c r="PM21" s="703">
        <v>303.28170944851888</v>
      </c>
      <c r="PN21" s="704">
        <v>135.800691014027</v>
      </c>
      <c r="PO21" s="704">
        <v>228.68340887759101</v>
      </c>
      <c r="PP21" s="173">
        <v>521.91166833196303</v>
      </c>
      <c r="PQ21" s="65"/>
      <c r="PR21" s="169" t="s">
        <v>543</v>
      </c>
      <c r="PS21" s="1038">
        <v>24.445993247674199</v>
      </c>
      <c r="PT21" s="1039">
        <v>280.14858027621801</v>
      </c>
      <c r="PU21" s="1039">
        <v>154.64770510774099</v>
      </c>
      <c r="PV21" s="1039">
        <v>16.566430856782102</v>
      </c>
      <c r="PW21" s="1039">
        <v>596.19979704933905</v>
      </c>
      <c r="PX21" s="1040">
        <v>198.26882212960101</v>
      </c>
      <c r="PZ21" s="169" t="s">
        <v>543</v>
      </c>
      <c r="QA21" s="1038">
        <v>813.62790933091503</v>
      </c>
      <c r="QB21" s="1039">
        <v>460.64942339798102</v>
      </c>
      <c r="QC21" s="1039">
        <v>378.18223188972701</v>
      </c>
      <c r="QD21" s="1039">
        <v>40.616761181999003</v>
      </c>
      <c r="QE21" s="1039">
        <v>41.850430326254902</v>
      </c>
      <c r="QF21" s="1040">
        <v>0</v>
      </c>
    </row>
    <row r="22" spans="1:448" ht="13.5" customHeight="1">
      <c r="A22" s="591" t="s">
        <v>487</v>
      </c>
      <c r="B22" s="167" t="s">
        <v>544</v>
      </c>
      <c r="C22" s="1103">
        <v>2354.961022</v>
      </c>
      <c r="D22" s="690">
        <v>2394.4239003057569</v>
      </c>
      <c r="E22" s="691">
        <v>2889.2910128049698</v>
      </c>
      <c r="F22" s="428"/>
      <c r="G22" s="169" t="s">
        <v>544</v>
      </c>
      <c r="H22" s="577">
        <f t="shared" si="5"/>
        <v>3.3292262230200098E-3</v>
      </c>
      <c r="I22" s="668">
        <f t="shared" si="6"/>
        <v>3.8288513733580221E-2</v>
      </c>
      <c r="J22" s="612"/>
      <c r="K22" s="63"/>
      <c r="L22" s="167" t="s">
        <v>544</v>
      </c>
      <c r="M22" s="636">
        <v>28</v>
      </c>
      <c r="N22" s="637">
        <v>32</v>
      </c>
      <c r="O22" s="637">
        <v>28</v>
      </c>
      <c r="P22" s="637">
        <v>23</v>
      </c>
      <c r="Q22" s="637">
        <v>26</v>
      </c>
      <c r="R22" s="637">
        <v>17</v>
      </c>
      <c r="S22" s="637">
        <v>27</v>
      </c>
      <c r="T22" s="637">
        <v>31</v>
      </c>
      <c r="U22" s="1138">
        <v>15</v>
      </c>
      <c r="V22" s="1138">
        <v>20</v>
      </c>
      <c r="W22" s="1139">
        <v>16</v>
      </c>
      <c r="X22" s="169" t="s">
        <v>544</v>
      </c>
      <c r="Y22" s="666">
        <v>30</v>
      </c>
      <c r="Z22" s="667">
        <v>25.5</v>
      </c>
      <c r="AA22" s="667">
        <v>21.5</v>
      </c>
      <c r="AB22" s="667">
        <v>29</v>
      </c>
      <c r="AC22" s="667">
        <v>29</v>
      </c>
      <c r="AD22" s="668">
        <v>-0.15</v>
      </c>
      <c r="AE22" s="668">
        <v>-0.15686274509803921</v>
      </c>
      <c r="AF22" s="668">
        <v>0.34883720930232559</v>
      </c>
      <c r="AG22" s="1213">
        <v>-0.15686274509803921</v>
      </c>
      <c r="AN22" s="169" t="s">
        <v>544</v>
      </c>
      <c r="AO22" s="636">
        <v>0</v>
      </c>
      <c r="AP22" s="637">
        <v>33.039406</v>
      </c>
      <c r="AQ22" s="637">
        <v>236.21801099999999</v>
      </c>
      <c r="AR22" s="637">
        <v>350.41789599999998</v>
      </c>
      <c r="AS22" s="637">
        <v>248.14645899999999</v>
      </c>
      <c r="AT22" s="637">
        <v>136.90321499999999</v>
      </c>
      <c r="AU22" s="637">
        <v>395.12738300000001</v>
      </c>
      <c r="AV22" s="173">
        <v>679.55361200000004</v>
      </c>
      <c r="AW22" s="636">
        <v>0</v>
      </c>
      <c r="AX22" s="637">
        <v>65.771246275494391</v>
      </c>
      <c r="AY22" s="637">
        <v>408.84334535699958</v>
      </c>
      <c r="AZ22" s="637">
        <v>307.6770223542037</v>
      </c>
      <c r="BA22" s="637">
        <v>231.53635288978896</v>
      </c>
      <c r="BB22" s="637">
        <v>138.49519152210485</v>
      </c>
      <c r="BC22" s="637">
        <v>343.5440670977726</v>
      </c>
      <c r="BD22" s="173">
        <v>597.09438245671322</v>
      </c>
      <c r="BE22" s="1137">
        <v>4.1404859426567997</v>
      </c>
      <c r="BF22" s="1138">
        <v>75.892099105092896</v>
      </c>
      <c r="BG22" s="1138">
        <v>490.16464955184699</v>
      </c>
      <c r="BH22" s="1138">
        <v>356.36840170298899</v>
      </c>
      <c r="BI22" s="1138">
        <v>249.31873105707601</v>
      </c>
      <c r="BJ22" s="1138">
        <v>121.591235208754</v>
      </c>
      <c r="BK22" s="1138">
        <v>431.90281835211101</v>
      </c>
      <c r="BL22" s="1139">
        <v>691.81002251165296</v>
      </c>
      <c r="BN22" s="169" t="s">
        <v>544</v>
      </c>
      <c r="BO22" s="647">
        <v>274.55504000000002</v>
      </c>
      <c r="BP22" s="648">
        <v>977.02355799999998</v>
      </c>
      <c r="BQ22" s="648">
        <v>309.354625</v>
      </c>
      <c r="BR22" s="648">
        <v>405.703304</v>
      </c>
      <c r="BS22" s="648">
        <v>206.678359</v>
      </c>
      <c r="BT22" s="173">
        <v>181.64613700000001</v>
      </c>
      <c r="BU22" s="647">
        <v>300.46229313419241</v>
      </c>
      <c r="BV22" s="648">
        <v>903.18318427364716</v>
      </c>
      <c r="BW22" s="648">
        <v>481.36274736751432</v>
      </c>
      <c r="BX22" s="648">
        <v>323.25733733260881</v>
      </c>
      <c r="BY22" s="648">
        <v>231.9623617617012</v>
      </c>
      <c r="BZ22" s="173">
        <v>154.1959764360931</v>
      </c>
      <c r="CA22" s="1137">
        <v>468.10256937278803</v>
      </c>
      <c r="CB22" s="1138">
        <v>970.45966825854305</v>
      </c>
      <c r="CC22" s="1138">
        <v>510.036096546262</v>
      </c>
      <c r="CD22" s="1138">
        <v>434.12316253457698</v>
      </c>
      <c r="CE22" s="1138">
        <v>319.63720906690003</v>
      </c>
      <c r="CF22" s="1139">
        <v>186.93230702589901</v>
      </c>
      <c r="CG22" s="429"/>
      <c r="CH22" s="169" t="s">
        <v>544</v>
      </c>
      <c r="CI22" s="172">
        <v>608.13866499999995</v>
      </c>
      <c r="CJ22" s="337">
        <v>1422.189658</v>
      </c>
      <c r="CK22" s="337">
        <v>324.632698</v>
      </c>
      <c r="CL22" s="647">
        <v>572.5714105041535</v>
      </c>
      <c r="CM22" s="648">
        <v>1552.887338106455</v>
      </c>
      <c r="CN22" s="648">
        <v>268.96515169514862</v>
      </c>
      <c r="CO22" s="1137">
        <v>801.77756012615896</v>
      </c>
      <c r="CP22" s="1138">
        <v>1709.69367476809</v>
      </c>
      <c r="CQ22" s="1139">
        <v>377.81977791072097</v>
      </c>
      <c r="CR22" s="429"/>
      <c r="CS22" s="232" t="s">
        <v>643</v>
      </c>
      <c r="CT22" s="242">
        <f t="shared" si="20"/>
        <v>-0.60181336592150436</v>
      </c>
      <c r="CU22" s="135">
        <f t="shared" si="21"/>
        <v>0.53259546601813557</v>
      </c>
      <c r="CV22" s="135">
        <f t="shared" si="22"/>
        <v>-0.39416253576464416</v>
      </c>
      <c r="CW22" s="238">
        <f t="shared" si="23"/>
        <v>0.36779208418599485</v>
      </c>
      <c r="CX22" s="242">
        <f t="shared" si="24"/>
        <v>-0.63976513326080175</v>
      </c>
      <c r="CY22" s="135">
        <f t="shared" si="25"/>
        <v>0.53300639057753119</v>
      </c>
      <c r="CZ22" s="135">
        <f t="shared" si="26"/>
        <v>-0.3864820043961304</v>
      </c>
      <c r="DA22" s="238">
        <f t="shared" si="27"/>
        <v>0.32411438133294712</v>
      </c>
      <c r="DB22" s="242">
        <f t="shared" si="28"/>
        <v>-0.62058853559281013</v>
      </c>
      <c r="DC22" s="135">
        <f t="shared" si="29"/>
        <v>0.53240962128844171</v>
      </c>
      <c r="DD22" s="135">
        <f t="shared" si="30"/>
        <v>-0.37426715571806662</v>
      </c>
      <c r="DE22" s="238">
        <f t="shared" si="31"/>
        <v>0.33823152409053947</v>
      </c>
      <c r="DG22" s="169" t="s">
        <v>544</v>
      </c>
      <c r="DH22" s="1147" t="s">
        <v>738</v>
      </c>
      <c r="DI22" s="1150" t="s">
        <v>836</v>
      </c>
      <c r="DJ22" s="704" t="s">
        <v>837</v>
      </c>
      <c r="DK22" s="704" t="s">
        <v>838</v>
      </c>
      <c r="DL22" s="337" t="s">
        <v>839</v>
      </c>
      <c r="DM22" s="174" t="s">
        <v>840</v>
      </c>
      <c r="DN22" s="451"/>
      <c r="DO22" s="167" t="s">
        <v>544</v>
      </c>
      <c r="DP22" s="704">
        <v>1333.0067779999999</v>
      </c>
      <c r="DQ22" s="337">
        <v>1397.55070848124</v>
      </c>
      <c r="DR22" s="1139">
        <v>1615.0361202260001</v>
      </c>
      <c r="DS22" s="63"/>
      <c r="DT22" s="169" t="s">
        <v>544</v>
      </c>
      <c r="DU22" s="172">
        <v>2273.9611209999998</v>
      </c>
      <c r="DV22" s="337">
        <v>2309.423966734339</v>
      </c>
      <c r="DW22" s="1139">
        <v>2889.2910128049698</v>
      </c>
      <c r="DX22" s="63"/>
      <c r="DY22" s="169" t="s">
        <v>544</v>
      </c>
      <c r="DZ22" s="1089">
        <f t="shared" si="0"/>
        <v>1.7058886410253495</v>
      </c>
      <c r="EA22" s="787">
        <f t="shared" si="1"/>
        <v>1.6524795506304446</v>
      </c>
      <c r="EB22" s="776">
        <f t="shared" si="2"/>
        <v>1.7889946711536437</v>
      </c>
      <c r="EC22" s="55"/>
      <c r="ED22" s="541"/>
      <c r="EE22" s="169" t="s">
        <v>544</v>
      </c>
      <c r="EF22" s="735">
        <v>754.37300300000004</v>
      </c>
      <c r="EG22" s="736">
        <v>61.107115999999998</v>
      </c>
      <c r="EH22" s="736">
        <v>266.57047599999999</v>
      </c>
      <c r="EI22" s="736">
        <v>159.61663200000001</v>
      </c>
      <c r="EJ22" s="736">
        <v>91.339551</v>
      </c>
      <c r="EK22" s="703">
        <v>817.83298516297441</v>
      </c>
      <c r="EL22" s="704">
        <v>63.058697107021423</v>
      </c>
      <c r="EM22" s="704">
        <v>280.72389471616822</v>
      </c>
      <c r="EN22" s="704">
        <v>176.26266379989465</v>
      </c>
      <c r="EO22" s="704">
        <v>59.672467695181297</v>
      </c>
      <c r="EP22" s="1137">
        <v>851.84116365507202</v>
      </c>
      <c r="EQ22" s="1138">
        <v>98.284264666326706</v>
      </c>
      <c r="ER22" s="1138">
        <v>305.73434366592102</v>
      </c>
      <c r="ES22" s="1138">
        <v>220.20745140530701</v>
      </c>
      <c r="ET22" s="1139">
        <v>138.96889683337599</v>
      </c>
      <c r="EV22" s="169" t="s">
        <v>544</v>
      </c>
      <c r="EW22" s="703">
        <v>374.095642</v>
      </c>
      <c r="EX22" s="704">
        <v>195.86897500000001</v>
      </c>
      <c r="EY22" s="704">
        <v>127.096431</v>
      </c>
      <c r="EZ22" s="704">
        <v>57.311956000000002</v>
      </c>
      <c r="FA22" s="703">
        <v>690.94133799999997</v>
      </c>
      <c r="FB22" s="704">
        <v>777.33109000000002</v>
      </c>
      <c r="FC22" s="704">
        <v>434.91794399999998</v>
      </c>
      <c r="FD22" s="704">
        <v>96.215708000000006</v>
      </c>
      <c r="FE22" s="703">
        <v>344.87133075607738</v>
      </c>
      <c r="FF22" s="704">
        <v>276.10208142826821</v>
      </c>
      <c r="FG22" s="704">
        <v>134.14706333940202</v>
      </c>
      <c r="FH22" s="173">
        <v>61.712510420739576</v>
      </c>
      <c r="FI22" s="703">
        <v>581.87311688270643</v>
      </c>
      <c r="FJ22" s="704">
        <v>924.09455226413115</v>
      </c>
      <c r="FK22" s="746">
        <v>398.78888202234509</v>
      </c>
      <c r="FL22" s="747">
        <v>103.20512321247701</v>
      </c>
      <c r="FM22" s="1137">
        <v>386.994283852867</v>
      </c>
      <c r="FN22" s="1138">
        <v>252.967426581897</v>
      </c>
      <c r="FO22" s="1138">
        <v>176.19227551092899</v>
      </c>
      <c r="FP22" s="1139">
        <v>35.687177709379398</v>
      </c>
      <c r="FQ22" s="1137">
        <v>746.62886857890805</v>
      </c>
      <c r="FR22" s="1138">
        <v>1033.52850481526</v>
      </c>
      <c r="FS22" s="1138">
        <v>506.269965923771</v>
      </c>
      <c r="FT22" s="1139">
        <v>134.761104114245</v>
      </c>
      <c r="FV22" s="167" t="s">
        <v>544</v>
      </c>
      <c r="FW22" s="337">
        <v>291.68270000000001</v>
      </c>
      <c r="FX22" s="337">
        <v>120.791301</v>
      </c>
      <c r="FY22" s="337">
        <v>66.179741000000007</v>
      </c>
      <c r="FZ22" s="173">
        <v>38.872917000000001</v>
      </c>
      <c r="GA22" s="703">
        <v>299.04839963490525</v>
      </c>
      <c r="GB22" s="704">
        <v>105.75272274638492</v>
      </c>
      <c r="GC22" s="704">
        <v>94.423989521017276</v>
      </c>
      <c r="GD22" s="173">
        <v>17.433914308936735</v>
      </c>
      <c r="GE22" s="1137">
        <v>330.26800731074201</v>
      </c>
      <c r="GF22" s="1138">
        <v>148.68640841431301</v>
      </c>
      <c r="GG22" s="1138">
        <v>127.332474002881</v>
      </c>
      <c r="GH22" s="1139">
        <v>58.623802176668008</v>
      </c>
      <c r="GJ22" s="169" t="s">
        <v>544</v>
      </c>
      <c r="GK22" s="703">
        <v>1472.498374</v>
      </c>
      <c r="GL22" s="704">
        <v>1546.9989085769876</v>
      </c>
      <c r="GM22" s="1139">
        <v>1887.50163988182</v>
      </c>
      <c r="GO22" s="169" t="s">
        <v>544</v>
      </c>
      <c r="GP22" s="703">
        <v>1333.0067779999999</v>
      </c>
      <c r="GQ22" s="704">
        <v>26.222987</v>
      </c>
      <c r="GR22" s="173">
        <v>113.268608</v>
      </c>
      <c r="GS22" s="703">
        <v>1396.5507092627529</v>
      </c>
      <c r="GT22" s="704">
        <v>19.865708727315482</v>
      </c>
      <c r="GU22" s="173">
        <v>130.58249058691931</v>
      </c>
      <c r="GV22" s="1137">
        <v>1615.0361202260001</v>
      </c>
      <c r="GW22" s="1138">
        <v>90.364114753963904</v>
      </c>
      <c r="GX22" s="1139">
        <v>182.10140490184901</v>
      </c>
      <c r="GZ22" s="169" t="s">
        <v>544</v>
      </c>
      <c r="HA22" s="172">
        <v>526.95920100000001</v>
      </c>
      <c r="HB22" s="337">
        <v>912.06580199999996</v>
      </c>
      <c r="HC22" s="173">
        <f t="shared" si="7"/>
        <v>33.473371000000043</v>
      </c>
      <c r="HD22" s="703">
        <v>407.77552939703492</v>
      </c>
      <c r="HE22" s="704">
        <v>1105.2004541717324</v>
      </c>
      <c r="HF22" s="173">
        <f t="shared" si="8"/>
        <v>34.022925008220227</v>
      </c>
      <c r="HG22" s="583">
        <v>525.71254622483502</v>
      </c>
      <c r="HH22" s="1138">
        <v>1311.3322885779201</v>
      </c>
      <c r="HI22" s="173">
        <f t="shared" si="9"/>
        <v>50.456805079064907</v>
      </c>
      <c r="HK22" s="169" t="s">
        <v>544</v>
      </c>
      <c r="HL22" s="704">
        <v>1333.0067779999999</v>
      </c>
      <c r="HM22" s="704">
        <v>3871.1657730000002</v>
      </c>
      <c r="HN22" s="776">
        <f t="shared" si="10"/>
        <v>2.9040855882279697</v>
      </c>
      <c r="HO22" s="703">
        <v>1396.5507092627529</v>
      </c>
      <c r="HP22" s="704">
        <v>4114.5003849234781</v>
      </c>
      <c r="HQ22" s="776">
        <f t="shared" si="11"/>
        <v>2.9461876018061286</v>
      </c>
      <c r="HR22" s="1138">
        <v>1615.0361202260001</v>
      </c>
      <c r="HS22" s="1138">
        <v>4819.5553032294902</v>
      </c>
      <c r="HT22" s="784">
        <f t="shared" si="12"/>
        <v>2.9841780272722729</v>
      </c>
      <c r="HV22" s="169" t="s">
        <v>544</v>
      </c>
      <c r="HW22" s="172">
        <v>485.41953699999999</v>
      </c>
      <c r="HX22" s="337">
        <v>2203.3603870000002</v>
      </c>
      <c r="HY22" s="787">
        <f t="shared" si="13"/>
        <v>4.5390846866552881</v>
      </c>
      <c r="HZ22" s="704">
        <v>814.11387100000002</v>
      </c>
      <c r="IA22" s="704">
        <v>1633.195559</v>
      </c>
      <c r="IB22" s="787">
        <f t="shared" si="14"/>
        <v>2.0061021156584617</v>
      </c>
      <c r="IC22" s="703">
        <v>387.7633613749482</v>
      </c>
      <c r="ID22" s="704">
        <v>1782.2185703994271</v>
      </c>
      <c r="IE22" s="787">
        <f t="shared" si="15"/>
        <v>4.5961499923044791</v>
      </c>
      <c r="IF22" s="704">
        <v>974.76442287958434</v>
      </c>
      <c r="IG22" s="704">
        <v>2290.5690962519666</v>
      </c>
      <c r="IH22" s="776">
        <f t="shared" si="16"/>
        <v>2.3498694068925077</v>
      </c>
      <c r="II22" s="1137">
        <v>474.73910839514502</v>
      </c>
      <c r="IJ22" s="1138">
        <v>2162.6921510310499</v>
      </c>
      <c r="IK22" s="1170">
        <f t="shared" si="17"/>
        <v>4.5555382162258091</v>
      </c>
      <c r="IL22" s="1138">
        <v>1100.41142832844</v>
      </c>
      <c r="IM22" s="1138">
        <v>2606.6833519308202</v>
      </c>
      <c r="IN22" s="1171">
        <f t="shared" si="18"/>
        <v>2.3688261361393304</v>
      </c>
      <c r="IP22" s="169" t="s">
        <v>544</v>
      </c>
      <c r="IQ22" s="703">
        <v>408.86278099999998</v>
      </c>
      <c r="IR22" s="704">
        <v>224.50322</v>
      </c>
      <c r="IS22" s="704">
        <v>266.448553</v>
      </c>
      <c r="IT22" s="704">
        <v>186.68101300000001</v>
      </c>
      <c r="IU22" s="704">
        <v>246.511212</v>
      </c>
      <c r="IV22" s="704">
        <v>3871.1657730000002</v>
      </c>
      <c r="IW22" s="703">
        <v>326.335412440114</v>
      </c>
      <c r="IX22" s="704">
        <v>294.53851511373023</v>
      </c>
      <c r="IY22" s="704">
        <v>279.02825857211576</v>
      </c>
      <c r="IZ22" s="704">
        <v>265.13988382753399</v>
      </c>
      <c r="JA22" s="704">
        <v>231.50863930925877</v>
      </c>
      <c r="JB22" s="173">
        <v>4114.5003849234781</v>
      </c>
      <c r="JC22" s="1137">
        <v>396.89138016110002</v>
      </c>
      <c r="JD22" s="1138">
        <v>250.411263829836</v>
      </c>
      <c r="JE22" s="1138">
        <v>437.41876908819501</v>
      </c>
      <c r="JF22" s="1138">
        <v>268.38958944343898</v>
      </c>
      <c r="JG22" s="1138">
        <v>261.92511770343299</v>
      </c>
      <c r="JH22" s="1139">
        <v>4819.5553032294902</v>
      </c>
      <c r="JJ22" s="169" t="s">
        <v>544</v>
      </c>
      <c r="JK22" s="172">
        <v>446.348229</v>
      </c>
      <c r="JL22" s="337">
        <v>687.11005</v>
      </c>
      <c r="JM22" s="337">
        <v>162.50160399999999</v>
      </c>
      <c r="JN22" s="173">
        <v>37.046895999999997</v>
      </c>
      <c r="JO22" s="703">
        <v>444.75455733102291</v>
      </c>
      <c r="JP22" s="704">
        <v>777.11695355805045</v>
      </c>
      <c r="JQ22" s="704">
        <v>136.60854014116467</v>
      </c>
      <c r="JR22" s="173">
        <v>38.070658232514774</v>
      </c>
      <c r="JS22" s="1137">
        <v>505.33058702192199</v>
      </c>
      <c r="JT22" s="1138">
        <v>808.031078604041</v>
      </c>
      <c r="JU22" s="1138">
        <v>273.81949789237899</v>
      </c>
      <c r="JV22" s="1139">
        <v>27.854956707661</v>
      </c>
      <c r="JX22" s="169" t="s">
        <v>544</v>
      </c>
      <c r="JY22" s="703">
        <v>411.07108782891999</v>
      </c>
      <c r="JZ22" s="704">
        <v>522.79848901160199</v>
      </c>
      <c r="KA22" s="704">
        <v>231.92319189023999</v>
      </c>
      <c r="KB22" s="173">
        <v>449.24335149524001</v>
      </c>
      <c r="KC22" s="603"/>
      <c r="KD22" s="169" t="s">
        <v>544</v>
      </c>
      <c r="KE22" s="703">
        <v>36.235789336806597</v>
      </c>
      <c r="KF22" s="704">
        <v>29.6820043475498</v>
      </c>
      <c r="KG22" s="704">
        <v>237.26730962374401</v>
      </c>
      <c r="KH22" s="704">
        <v>175.02184240862499</v>
      </c>
      <c r="KI22" s="704">
        <v>344.03752132774503</v>
      </c>
      <c r="KJ22" s="173">
        <v>262.897403502136</v>
      </c>
      <c r="KK22" s="703">
        <v>109.315253838494</v>
      </c>
      <c r="KL22" s="704">
        <v>139.02052425232199</v>
      </c>
      <c r="KM22" s="704">
        <v>136.663233771433</v>
      </c>
      <c r="KN22" s="704">
        <v>40.758838120377497</v>
      </c>
      <c r="KO22" s="704">
        <v>43.831067118695898</v>
      </c>
      <c r="KP22" s="173">
        <v>3.9756099259893598</v>
      </c>
      <c r="KQ22" s="703">
        <v>149.09580533457299</v>
      </c>
      <c r="KR22" s="704">
        <v>168.70252859987201</v>
      </c>
      <c r="KS22" s="704">
        <v>377.916403332274</v>
      </c>
      <c r="KT22" s="704">
        <v>219.22442709851001</v>
      </c>
      <c r="KU22" s="704">
        <v>402.79149024764098</v>
      </c>
      <c r="KV22" s="173">
        <v>278.51216372780101</v>
      </c>
      <c r="KW22" s="429"/>
      <c r="KX22" s="169" t="s">
        <v>544</v>
      </c>
      <c r="KY22" s="172">
        <f t="shared" si="19"/>
        <v>476.06840899999997</v>
      </c>
      <c r="KZ22" s="337">
        <v>677.79946199999995</v>
      </c>
      <c r="LA22" s="173">
        <v>179.13890699999999</v>
      </c>
      <c r="LB22" s="172">
        <f t="shared" si="3"/>
        <v>444.29481818582292</v>
      </c>
      <c r="LC22" s="704">
        <v>730.08510601205319</v>
      </c>
      <c r="LD22" s="173">
        <v>223.1707842833639</v>
      </c>
      <c r="LE22" s="172">
        <f t="shared" si="4"/>
        <v>558.93833483897811</v>
      </c>
      <c r="LF22" s="1138">
        <v>798.53398644154197</v>
      </c>
      <c r="LG22" s="1139">
        <v>257.56379894548002</v>
      </c>
      <c r="LH22" s="426"/>
      <c r="LI22" s="169" t="s">
        <v>544</v>
      </c>
      <c r="LJ22" s="703">
        <v>1012.202447</v>
      </c>
      <c r="LK22" s="704">
        <v>906.40295900000001</v>
      </c>
      <c r="LL22" s="704">
        <v>105.799488</v>
      </c>
      <c r="LM22" s="704">
        <v>589.11744599999997</v>
      </c>
      <c r="LN22" s="704">
        <v>94.044094000000001</v>
      </c>
      <c r="LO22" s="173">
        <v>60.409298</v>
      </c>
      <c r="LP22" s="703">
        <v>1168.7926307537805</v>
      </c>
      <c r="LQ22" s="704">
        <v>994.85115734709461</v>
      </c>
      <c r="LR22" s="704">
        <v>173.94147340668556</v>
      </c>
      <c r="LS22" s="704">
        <v>477.30361006298807</v>
      </c>
      <c r="LT22" s="704">
        <v>87.906020542390777</v>
      </c>
      <c r="LU22" s="173">
        <v>90.994194117257052</v>
      </c>
      <c r="LV22" s="1137">
        <v>1294.89781987994</v>
      </c>
      <c r="LW22" s="1138">
        <v>1163.04371953185</v>
      </c>
      <c r="LX22" s="1138">
        <v>131.85410034808399</v>
      </c>
      <c r="LY22" s="1138">
        <v>581.26631075176999</v>
      </c>
      <c r="LZ22" s="1138">
        <v>93.5951559655973</v>
      </c>
      <c r="MA22" s="1139">
        <v>73.609378924156303</v>
      </c>
      <c r="MC22" s="169" t="s">
        <v>544</v>
      </c>
      <c r="MD22" s="703">
        <v>0</v>
      </c>
      <c r="ME22" s="704">
        <v>33.039406</v>
      </c>
      <c r="MF22" s="704">
        <v>223.34790599999999</v>
      </c>
      <c r="MG22" s="704">
        <v>343.29402199999998</v>
      </c>
      <c r="MH22" s="704">
        <v>204.49401499999999</v>
      </c>
      <c r="MI22" s="173">
        <v>100.22761199999999</v>
      </c>
      <c r="MJ22" s="703">
        <v>0</v>
      </c>
      <c r="MK22" s="704">
        <v>54.755427950491111</v>
      </c>
      <c r="ML22" s="704">
        <v>384.57150010185615</v>
      </c>
      <c r="MM22" s="704">
        <v>269.80508190268893</v>
      </c>
      <c r="MN22" s="704">
        <v>184.16617200639556</v>
      </c>
      <c r="MO22" s="173">
        <v>101.55297538566288</v>
      </c>
      <c r="MP22" s="1137">
        <v>4.1404859426567997</v>
      </c>
      <c r="MQ22" s="1138">
        <v>60.357127958474599</v>
      </c>
      <c r="MR22" s="1138">
        <v>455.34957793997</v>
      </c>
      <c r="MS22" s="1138">
        <v>334.20677846229103</v>
      </c>
      <c r="MT22" s="1138">
        <v>217.144006943818</v>
      </c>
      <c r="MU22" s="1139">
        <v>91.845742284643094</v>
      </c>
      <c r="MW22" s="169" t="s">
        <v>544</v>
      </c>
      <c r="MX22" s="172">
        <v>910.51493700000003</v>
      </c>
      <c r="MY22" s="337">
        <v>853.83379500000001</v>
      </c>
      <c r="MZ22" s="337">
        <v>56.681142000000001</v>
      </c>
      <c r="NA22" s="703">
        <v>998.20518341597824</v>
      </c>
      <c r="NB22" s="704">
        <v>877.48676080152688</v>
      </c>
      <c r="NC22" s="173">
        <v>120.71842261445136</v>
      </c>
      <c r="ND22" s="1137">
        <v>1179.0284039098999</v>
      </c>
      <c r="NE22" s="1138">
        <v>1019.2098980378501</v>
      </c>
      <c r="NF22" s="1139">
        <v>159.81850587204801</v>
      </c>
      <c r="NH22" s="169" t="s">
        <v>544</v>
      </c>
      <c r="NI22" s="703">
        <v>642.21108988645005</v>
      </c>
      <c r="NJ22" s="173">
        <v>235.2756709150768</v>
      </c>
      <c r="NK22" s="703">
        <v>60.431199098078473</v>
      </c>
      <c r="NL22" s="704">
        <v>60.28722351637289</v>
      </c>
      <c r="NM22" s="173">
        <v>0</v>
      </c>
      <c r="NN22" s="1137">
        <v>801.07871434205299</v>
      </c>
      <c r="NO22" s="1139">
        <v>218.13118369579917</v>
      </c>
      <c r="NP22" s="1137">
        <v>115.270562470488</v>
      </c>
      <c r="NQ22" s="1138">
        <v>44.547943401560602</v>
      </c>
      <c r="NR22" s="1139">
        <v>0</v>
      </c>
      <c r="NS22" s="136"/>
      <c r="NT22" s="169" t="s">
        <v>544</v>
      </c>
      <c r="NU22" s="703">
        <v>137.13660658574253</v>
      </c>
      <c r="NV22" s="704">
        <v>19.540200183178364</v>
      </c>
      <c r="NW22" s="704">
        <v>6.5490735569779703</v>
      </c>
      <c r="NX22" s="173">
        <v>72.049790589177945</v>
      </c>
      <c r="NY22" s="1137">
        <v>100.34156796524501</v>
      </c>
      <c r="NZ22" s="1138">
        <v>15.6512189712621</v>
      </c>
      <c r="OA22" s="1138">
        <v>5.2858018280329802</v>
      </c>
      <c r="OB22" s="1139">
        <v>96.852594931259105</v>
      </c>
      <c r="OC22" s="553"/>
      <c r="OD22" s="169" t="s">
        <v>544</v>
      </c>
      <c r="OE22" s="703">
        <v>57.896819954374003</v>
      </c>
      <c r="OF22" s="704">
        <v>188.87774135663699</v>
      </c>
      <c r="OG22" s="704">
        <v>109.03418976675999</v>
      </c>
      <c r="OH22" s="704">
        <v>65.383203810398996</v>
      </c>
      <c r="OI22" s="704">
        <v>595.32334536519704</v>
      </c>
      <c r="OJ22" s="704">
        <v>65.680320765174699</v>
      </c>
      <c r="OK22" s="173">
        <v>27.8885525643487</v>
      </c>
      <c r="OL22" s="703">
        <v>96.552381454017194</v>
      </c>
      <c r="OM22" s="704">
        <v>188.87774135663699</v>
      </c>
      <c r="ON22" s="704">
        <v>109.03418976675999</v>
      </c>
      <c r="OO22" s="704">
        <v>65.383203810398996</v>
      </c>
      <c r="OP22" s="704">
        <v>681.24566476850896</v>
      </c>
      <c r="OQ22" s="704">
        <v>223.83079967963499</v>
      </c>
      <c r="OR22" s="173">
        <v>1450.7287751736401</v>
      </c>
      <c r="OT22" s="169" t="s">
        <v>544</v>
      </c>
      <c r="OU22" s="172">
        <v>354.36854399999999</v>
      </c>
      <c r="OV22" s="337">
        <v>232.77937900000001</v>
      </c>
      <c r="OW22" s="337">
        <v>255.622331</v>
      </c>
      <c r="OX22" s="173">
        <v>511.10154899999998</v>
      </c>
      <c r="OY22" s="703">
        <v>277.01318073915013</v>
      </c>
      <c r="OZ22" s="704">
        <v>224.38635266105027</v>
      </c>
      <c r="PA22" s="704">
        <v>225.32783427089757</v>
      </c>
      <c r="PB22" s="173">
        <v>711.8891144667756</v>
      </c>
      <c r="PC22" s="1137">
        <v>272.66484594065702</v>
      </c>
      <c r="PD22" s="1138">
        <v>272.64849593679901</v>
      </c>
      <c r="PE22" s="1138">
        <v>174.65081125318</v>
      </c>
      <c r="PF22" s="1139">
        <v>946.94886779642502</v>
      </c>
      <c r="PH22" s="169" t="s">
        <v>544</v>
      </c>
      <c r="PI22" s="703">
        <v>112.21268670110049</v>
      </c>
      <c r="PJ22" s="704">
        <v>155.33416623440499</v>
      </c>
      <c r="PK22" s="704">
        <v>100.805399487066</v>
      </c>
      <c r="PL22" s="173">
        <v>452.61349219177458</v>
      </c>
      <c r="PM22" s="703">
        <v>160.45215923955621</v>
      </c>
      <c r="PN22" s="704">
        <v>117.31432970239401</v>
      </c>
      <c r="PO22" s="704">
        <v>73.8454117661135</v>
      </c>
      <c r="PP22" s="173">
        <v>494.33537560465004</v>
      </c>
      <c r="PQ22" s="65"/>
      <c r="PR22" s="169" t="s">
        <v>544</v>
      </c>
      <c r="PS22" s="1038">
        <v>44.786089891678401</v>
      </c>
      <c r="PT22" s="1039">
        <v>238.80473605438101</v>
      </c>
      <c r="PU22" s="1039">
        <v>162.081146154804</v>
      </c>
      <c r="PV22" s="1039">
        <v>8.6270846752674402</v>
      </c>
      <c r="PW22" s="1039">
        <v>559.41688390720799</v>
      </c>
      <c r="PX22" s="1040">
        <v>165.31246322656199</v>
      </c>
      <c r="PZ22" s="169" t="s">
        <v>544</v>
      </c>
      <c r="QA22" s="1038">
        <v>774.25674585732099</v>
      </c>
      <c r="QB22" s="1039">
        <v>404.77165805257903</v>
      </c>
      <c r="QC22" s="1039">
        <v>323.38296888041998</v>
      </c>
      <c r="QD22" s="1039">
        <v>17.681413069412201</v>
      </c>
      <c r="QE22" s="1039">
        <v>63.707276102747102</v>
      </c>
      <c r="QF22" s="1040">
        <v>0</v>
      </c>
    </row>
    <row r="23" spans="1:448" ht="13.5" customHeight="1">
      <c r="A23" s="591" t="s">
        <v>488</v>
      </c>
      <c r="B23" s="167" t="s">
        <v>545</v>
      </c>
      <c r="C23" s="1103">
        <v>2223.3227860000002</v>
      </c>
      <c r="D23" s="690">
        <v>2262.6455796808063</v>
      </c>
      <c r="E23" s="691">
        <v>2063.9004643820299</v>
      </c>
      <c r="F23" s="428"/>
      <c r="G23" s="169" t="s">
        <v>545</v>
      </c>
      <c r="H23" s="577">
        <f t="shared" si="5"/>
        <v>3.5125369123520933E-3</v>
      </c>
      <c r="I23" s="668">
        <f t="shared" si="6"/>
        <v>-1.8219406166352203E-2</v>
      </c>
      <c r="J23" s="612"/>
      <c r="K23" s="63"/>
      <c r="L23" s="167" t="s">
        <v>545</v>
      </c>
      <c r="M23" s="636">
        <v>35</v>
      </c>
      <c r="N23" s="637">
        <v>44</v>
      </c>
      <c r="O23" s="637">
        <v>27</v>
      </c>
      <c r="P23" s="637">
        <v>32</v>
      </c>
      <c r="Q23" s="637">
        <v>33</v>
      </c>
      <c r="R23" s="637">
        <v>26</v>
      </c>
      <c r="S23" s="637">
        <v>18</v>
      </c>
      <c r="T23" s="637">
        <v>26</v>
      </c>
      <c r="U23" s="1138">
        <v>20</v>
      </c>
      <c r="V23" s="1138">
        <v>20</v>
      </c>
      <c r="W23" s="1139">
        <v>29</v>
      </c>
      <c r="X23" s="169" t="s">
        <v>545</v>
      </c>
      <c r="Y23" s="666">
        <v>39.5</v>
      </c>
      <c r="Z23" s="667">
        <v>29.5</v>
      </c>
      <c r="AA23" s="667">
        <v>29.5</v>
      </c>
      <c r="AB23" s="667">
        <v>22</v>
      </c>
      <c r="AC23" s="667">
        <v>22</v>
      </c>
      <c r="AD23" s="668">
        <v>-0.25316455696202533</v>
      </c>
      <c r="AE23" s="668">
        <v>0</v>
      </c>
      <c r="AF23" s="668">
        <v>-0.25423728813559321</v>
      </c>
      <c r="AG23" s="1213">
        <v>0</v>
      </c>
      <c r="AN23" s="169" t="s">
        <v>545</v>
      </c>
      <c r="AO23" s="636">
        <v>0</v>
      </c>
      <c r="AP23" s="637">
        <v>28.761082999999999</v>
      </c>
      <c r="AQ23" s="637">
        <v>74.682119999999998</v>
      </c>
      <c r="AR23" s="637">
        <v>197.87867399999999</v>
      </c>
      <c r="AS23" s="637">
        <v>417.49798700000002</v>
      </c>
      <c r="AT23" s="637">
        <v>271.04880800000001</v>
      </c>
      <c r="AU23" s="637">
        <v>423.82874399999997</v>
      </c>
      <c r="AV23" s="173">
        <v>443.34324299999997</v>
      </c>
      <c r="AW23" s="636">
        <v>0</v>
      </c>
      <c r="AX23" s="637">
        <v>26.04966784517196</v>
      </c>
      <c r="AY23" s="637">
        <v>99.924311611196273</v>
      </c>
      <c r="AZ23" s="637">
        <v>202.20112284270439</v>
      </c>
      <c r="BA23" s="637">
        <v>397.69633814845491</v>
      </c>
      <c r="BB23" s="637">
        <v>265.82459906607033</v>
      </c>
      <c r="BC23" s="637">
        <v>337.04317430068846</v>
      </c>
      <c r="BD23" s="173">
        <v>460.51943619913578</v>
      </c>
      <c r="BE23" s="1137">
        <v>0</v>
      </c>
      <c r="BF23" s="1138">
        <v>8.0607756143919307</v>
      </c>
      <c r="BG23" s="1138">
        <v>116.747938287751</v>
      </c>
      <c r="BH23" s="1138">
        <v>209.158151499697</v>
      </c>
      <c r="BI23" s="1138">
        <v>362.83010161640698</v>
      </c>
      <c r="BJ23" s="1138">
        <v>206.43129413009299</v>
      </c>
      <c r="BK23" s="1138">
        <v>310.29969407325802</v>
      </c>
      <c r="BL23" s="1139">
        <v>499.20343755185701</v>
      </c>
      <c r="BN23" s="169" t="s">
        <v>545</v>
      </c>
      <c r="BO23" s="647">
        <v>366.282128</v>
      </c>
      <c r="BP23" s="648">
        <v>715.81179599999996</v>
      </c>
      <c r="BQ23" s="648">
        <v>375.63335999999998</v>
      </c>
      <c r="BR23" s="648">
        <v>344.02433600000001</v>
      </c>
      <c r="BS23" s="648">
        <v>210.44435799999999</v>
      </c>
      <c r="BT23" s="173">
        <v>211.12680800000001</v>
      </c>
      <c r="BU23" s="647">
        <v>472.38693044889698</v>
      </c>
      <c r="BV23" s="648">
        <v>700.71630744024185</v>
      </c>
      <c r="BW23" s="648">
        <v>406.28746012334028</v>
      </c>
      <c r="BX23" s="648">
        <v>312.11437585880128</v>
      </c>
      <c r="BY23" s="648">
        <v>248.44900821074063</v>
      </c>
      <c r="BZ23" s="173">
        <v>122.69149759878535</v>
      </c>
      <c r="CA23" s="1137">
        <v>350.16907059319198</v>
      </c>
      <c r="CB23" s="1138">
        <v>729.38735149892898</v>
      </c>
      <c r="CC23" s="1138">
        <v>333.971109227375</v>
      </c>
      <c r="CD23" s="1138">
        <v>315.48868688194102</v>
      </c>
      <c r="CE23" s="1138">
        <v>221.09104187574201</v>
      </c>
      <c r="CF23" s="1139">
        <v>113.793204304852</v>
      </c>
      <c r="CG23" s="429"/>
      <c r="CH23" s="169" t="s">
        <v>545</v>
      </c>
      <c r="CI23" s="172">
        <v>571.35089100000005</v>
      </c>
      <c r="CJ23" s="337">
        <v>1313.932863</v>
      </c>
      <c r="CK23" s="337">
        <v>338.03903300000002</v>
      </c>
      <c r="CL23" s="647">
        <v>659.33602867356467</v>
      </c>
      <c r="CM23" s="648">
        <v>1335.8462710833935</v>
      </c>
      <c r="CN23" s="648">
        <v>267.46327992384801</v>
      </c>
      <c r="CO23" s="1137">
        <v>561.10989487182098</v>
      </c>
      <c r="CP23" s="1138">
        <v>1239.9986564169301</v>
      </c>
      <c r="CQ23" s="1139">
        <v>262.79191309328002</v>
      </c>
      <c r="CR23" s="433"/>
      <c r="CS23" s="232" t="s">
        <v>644</v>
      </c>
      <c r="CT23" s="242">
        <f t="shared" si="20"/>
        <v>-0.11490909566572526</v>
      </c>
      <c r="CU23" s="135">
        <f t="shared" si="21"/>
        <v>0.10539302750999158</v>
      </c>
      <c r="CV23" s="135">
        <f t="shared" si="22"/>
        <v>-0.19215416988236056</v>
      </c>
      <c r="CW23" s="238">
        <f t="shared" si="23"/>
        <v>0.14818125665338441</v>
      </c>
      <c r="CX23" s="242">
        <f t="shared" si="24"/>
        <v>-0.11572011824127577</v>
      </c>
      <c r="CY23" s="135">
        <f t="shared" si="25"/>
        <v>9.1451211171391558E-2</v>
      </c>
      <c r="CZ23" s="135">
        <f t="shared" si="26"/>
        <v>-0.18879000009711921</v>
      </c>
      <c r="DA23" s="238">
        <f t="shared" si="27"/>
        <v>0.15421889166486935</v>
      </c>
      <c r="DB23" s="242">
        <f t="shared" si="28"/>
        <v>-9.4838176625219345E-2</v>
      </c>
      <c r="DC23" s="135">
        <f t="shared" si="29"/>
        <v>0.10419001644387491</v>
      </c>
      <c r="DD23" s="135">
        <f t="shared" si="30"/>
        <v>-0.17905608781524787</v>
      </c>
      <c r="DE23" s="238">
        <f t="shared" si="31"/>
        <v>0.15926258088656167</v>
      </c>
      <c r="DG23" s="169" t="s">
        <v>545</v>
      </c>
      <c r="DH23" s="1147" t="s">
        <v>739</v>
      </c>
      <c r="DI23" s="1150" t="s">
        <v>841</v>
      </c>
      <c r="DJ23" s="704" t="s">
        <v>842</v>
      </c>
      <c r="DK23" s="704" t="s">
        <v>843</v>
      </c>
      <c r="DL23" s="337" t="s">
        <v>844</v>
      </c>
      <c r="DM23" s="174" t="s">
        <v>845</v>
      </c>
      <c r="DN23" s="451"/>
      <c r="DO23" s="167" t="s">
        <v>545</v>
      </c>
      <c r="DP23" s="704">
        <v>1127.383636</v>
      </c>
      <c r="DQ23" s="337">
        <v>1159.1519581988605</v>
      </c>
      <c r="DR23" s="1139">
        <v>1179.4890951080899</v>
      </c>
      <c r="DS23" s="63"/>
      <c r="DT23" s="169" t="s">
        <v>545</v>
      </c>
      <c r="DU23" s="172">
        <v>2119.322913</v>
      </c>
      <c r="DV23" s="337">
        <v>2221.645611722829</v>
      </c>
      <c r="DW23" s="1139">
        <v>2027.90042782817</v>
      </c>
      <c r="DX23" s="63"/>
      <c r="DY23" s="169" t="s">
        <v>545</v>
      </c>
      <c r="DZ23" s="1089">
        <f t="shared" si="0"/>
        <v>1.8798595662781112</v>
      </c>
      <c r="EA23" s="787">
        <f t="shared" si="1"/>
        <v>1.9166129134396808</v>
      </c>
      <c r="EB23" s="776">
        <f t="shared" si="2"/>
        <v>1.7193040921182323</v>
      </c>
      <c r="EC23" s="55"/>
      <c r="ED23" s="541"/>
      <c r="EE23" s="169" t="s">
        <v>545</v>
      </c>
      <c r="EF23" s="735">
        <v>572.500135</v>
      </c>
      <c r="EG23" s="736">
        <v>21.676237</v>
      </c>
      <c r="EH23" s="736">
        <v>198.26784499999999</v>
      </c>
      <c r="EI23" s="736">
        <v>173.041246</v>
      </c>
      <c r="EJ23" s="736">
        <v>161.89817300000001</v>
      </c>
      <c r="EK23" s="703">
        <v>632.07073988055834</v>
      </c>
      <c r="EL23" s="704">
        <v>21.019415004688646</v>
      </c>
      <c r="EM23" s="704">
        <v>157.86172939606661</v>
      </c>
      <c r="EN23" s="704">
        <v>181.44456960441465</v>
      </c>
      <c r="EO23" s="704">
        <v>166.75550431313218</v>
      </c>
      <c r="EP23" s="1137">
        <v>713.04994550373794</v>
      </c>
      <c r="EQ23" s="1138">
        <v>33.410221659268203</v>
      </c>
      <c r="ER23" s="1138">
        <v>130.201614049873</v>
      </c>
      <c r="ES23" s="1138">
        <v>118.578224675782</v>
      </c>
      <c r="ET23" s="1139">
        <v>184.24908921943199</v>
      </c>
      <c r="EV23" s="169" t="s">
        <v>545</v>
      </c>
      <c r="EW23" s="703">
        <v>208.99303399999999</v>
      </c>
      <c r="EX23" s="704">
        <v>182.180353</v>
      </c>
      <c r="EY23" s="704">
        <v>128.551603</v>
      </c>
      <c r="EZ23" s="704">
        <v>52.775145999999999</v>
      </c>
      <c r="FA23" s="703">
        <v>489.76120300000002</v>
      </c>
      <c r="FB23" s="704">
        <v>787.21918400000004</v>
      </c>
      <c r="FC23" s="704">
        <v>369.13676800000002</v>
      </c>
      <c r="FD23" s="704">
        <v>106.92363</v>
      </c>
      <c r="FE23" s="703">
        <v>268.1604693880318</v>
      </c>
      <c r="FF23" s="704">
        <v>165.86732987212156</v>
      </c>
      <c r="FG23" s="704">
        <v>153.75769507230066</v>
      </c>
      <c r="FH23" s="173">
        <v>44.285245548104335</v>
      </c>
      <c r="FI23" s="703">
        <v>496.64247395483403</v>
      </c>
      <c r="FJ23" s="704">
        <v>785.30307629934464</v>
      </c>
      <c r="FK23" s="746">
        <v>387.01587443859552</v>
      </c>
      <c r="FL23" s="747">
        <v>80.297256581157271</v>
      </c>
      <c r="FM23" s="1137">
        <v>272.69743522365599</v>
      </c>
      <c r="FN23" s="1138">
        <v>217.467060060314</v>
      </c>
      <c r="FO23" s="1138">
        <v>189.74539133744901</v>
      </c>
      <c r="FP23" s="1139">
        <v>33.140058882319003</v>
      </c>
      <c r="FQ23" s="1137">
        <v>536.070579219102</v>
      </c>
      <c r="FR23" s="1138">
        <v>714.08703208939403</v>
      </c>
      <c r="FS23" s="1138">
        <v>371.61226244314201</v>
      </c>
      <c r="FT23" s="1139">
        <v>55.9614834833407</v>
      </c>
      <c r="FV23" s="167" t="s">
        <v>545</v>
      </c>
      <c r="FW23" s="337">
        <v>222.29868400000001</v>
      </c>
      <c r="FX23" s="337">
        <v>148.782172</v>
      </c>
      <c r="FY23" s="337">
        <v>122.195123</v>
      </c>
      <c r="FZ23" s="173">
        <v>43.895019999999995</v>
      </c>
      <c r="GA23" s="703">
        <v>200.98650512008064</v>
      </c>
      <c r="GB23" s="704">
        <v>126.26995618709412</v>
      </c>
      <c r="GC23" s="704">
        <v>103.4627871524638</v>
      </c>
      <c r="GD23" s="173">
        <v>81.83528617091136</v>
      </c>
      <c r="GE23" s="1137">
        <v>159.325488055867</v>
      </c>
      <c r="GF23" s="1138">
        <v>119.493918333921</v>
      </c>
      <c r="GG23" s="1138">
        <v>111.839248134873</v>
      </c>
      <c r="GH23" s="1139">
        <v>46.324067945950404</v>
      </c>
      <c r="GJ23" s="169" t="s">
        <v>545</v>
      </c>
      <c r="GK23" s="703">
        <v>1224.9986240000001</v>
      </c>
      <c r="GL23" s="704">
        <v>1249.9273140762125</v>
      </c>
      <c r="GM23" s="1139">
        <v>1296.0011976343401</v>
      </c>
      <c r="GO23" s="169" t="s">
        <v>545</v>
      </c>
      <c r="GP23" s="703">
        <v>1127.383636</v>
      </c>
      <c r="GQ23" s="704">
        <v>19.208003999999999</v>
      </c>
      <c r="GR23" s="173">
        <v>78.406983999999994</v>
      </c>
      <c r="GS23" s="703">
        <v>1159.1519581988605</v>
      </c>
      <c r="GT23" s="704">
        <v>13.294050958111075</v>
      </c>
      <c r="GU23" s="173">
        <v>77.481304919240657</v>
      </c>
      <c r="GV23" s="1137">
        <v>1179.4890951080899</v>
      </c>
      <c r="GW23" s="1138">
        <v>27.6210946370072</v>
      </c>
      <c r="GX23" s="1139">
        <v>88.891007889239702</v>
      </c>
      <c r="GZ23" s="169" t="s">
        <v>545</v>
      </c>
      <c r="HA23" s="172">
        <v>113.114499</v>
      </c>
      <c r="HB23" s="337">
        <v>1101.6375829999999</v>
      </c>
      <c r="HC23" s="173">
        <f t="shared" si="7"/>
        <v>10.24654200000009</v>
      </c>
      <c r="HD23" s="703">
        <v>123.7001321565138</v>
      </c>
      <c r="HE23" s="704">
        <v>1116.9311038554065</v>
      </c>
      <c r="HF23" s="173">
        <f t="shared" si="8"/>
        <v>9.29607806429226</v>
      </c>
      <c r="HG23" s="583">
        <v>113.81216354445</v>
      </c>
      <c r="HH23" s="1138">
        <v>1179.19678022578</v>
      </c>
      <c r="HI23" s="173">
        <f t="shared" si="9"/>
        <v>2.9922538641101255</v>
      </c>
      <c r="HK23" s="169" t="s">
        <v>545</v>
      </c>
      <c r="HL23" s="704">
        <v>1127.383636</v>
      </c>
      <c r="HM23" s="704">
        <v>3231.4908810000002</v>
      </c>
      <c r="HN23" s="776">
        <f t="shared" si="10"/>
        <v>2.8663631241495153</v>
      </c>
      <c r="HO23" s="703">
        <v>1159.1519581988605</v>
      </c>
      <c r="HP23" s="704">
        <v>3128.3884582033352</v>
      </c>
      <c r="HQ23" s="776">
        <f t="shared" si="11"/>
        <v>2.6988596586286735</v>
      </c>
      <c r="HR23" s="1138">
        <v>1179.4890951080899</v>
      </c>
      <c r="HS23" s="1138">
        <v>3151.2983327756601</v>
      </c>
      <c r="HT23" s="784">
        <f t="shared" si="12"/>
        <v>2.671748595087156</v>
      </c>
      <c r="HV23" s="169" t="s">
        <v>545</v>
      </c>
      <c r="HW23" s="172">
        <v>109.983959</v>
      </c>
      <c r="HX23" s="337">
        <v>427.93197700000002</v>
      </c>
      <c r="HY23" s="787">
        <f t="shared" si="13"/>
        <v>3.890858093224304</v>
      </c>
      <c r="HZ23" s="704">
        <v>1007.153135</v>
      </c>
      <c r="IA23" s="704">
        <v>2764.2825990000001</v>
      </c>
      <c r="IB23" s="787">
        <f t="shared" si="14"/>
        <v>2.7446497488189818</v>
      </c>
      <c r="IC23" s="703">
        <v>120.46737187791554</v>
      </c>
      <c r="ID23" s="704">
        <v>432.94970243706081</v>
      </c>
      <c r="IE23" s="787">
        <f t="shared" si="15"/>
        <v>3.5939167235740994</v>
      </c>
      <c r="IF23" s="704">
        <v>1029.3885082566528</v>
      </c>
      <c r="IG23" s="704">
        <v>2666.8423466664622</v>
      </c>
      <c r="IH23" s="776">
        <f t="shared" si="16"/>
        <v>2.5907053802096169</v>
      </c>
      <c r="II23" s="1137">
        <v>105.272169502019</v>
      </c>
      <c r="IJ23" s="1138">
        <v>380.78124673134101</v>
      </c>
      <c r="IK23" s="1170">
        <f t="shared" si="17"/>
        <v>3.6171121820001826</v>
      </c>
      <c r="IL23" s="1138">
        <v>1071.22467174197</v>
      </c>
      <c r="IM23" s="1138">
        <v>2758.5480705878899</v>
      </c>
      <c r="IN23" s="1171">
        <f t="shared" si="18"/>
        <v>2.5751349304736251</v>
      </c>
      <c r="IP23" s="169" t="s">
        <v>545</v>
      </c>
      <c r="IQ23" s="703">
        <v>257.63300199999998</v>
      </c>
      <c r="IR23" s="704">
        <v>158.693971</v>
      </c>
      <c r="IS23" s="704">
        <v>300.22193399999998</v>
      </c>
      <c r="IT23" s="704">
        <v>320.317117</v>
      </c>
      <c r="IU23" s="704">
        <v>90.517612999999997</v>
      </c>
      <c r="IV23" s="704">
        <v>3231.4908810000002</v>
      </c>
      <c r="IW23" s="703">
        <v>312.61270700152727</v>
      </c>
      <c r="IX23" s="704">
        <v>183.2002651676828</v>
      </c>
      <c r="IY23" s="704">
        <v>289.5043849649411</v>
      </c>
      <c r="IZ23" s="704">
        <v>300.82512173595177</v>
      </c>
      <c r="JA23" s="704">
        <v>73.009479328757493</v>
      </c>
      <c r="JB23" s="173">
        <v>3128.3884582033352</v>
      </c>
      <c r="JC23" s="1137">
        <v>320.90244769767003</v>
      </c>
      <c r="JD23" s="1138">
        <v>188.87989344007201</v>
      </c>
      <c r="JE23" s="1138">
        <v>376.79946843084298</v>
      </c>
      <c r="JF23" s="1138">
        <v>216.174634548325</v>
      </c>
      <c r="JG23" s="1138">
        <v>76.7326509911844</v>
      </c>
      <c r="JH23" s="1139">
        <v>3151.2983327756601</v>
      </c>
      <c r="JJ23" s="169" t="s">
        <v>545</v>
      </c>
      <c r="JK23" s="172">
        <v>122.44910299999999</v>
      </c>
      <c r="JL23" s="337">
        <v>416.46309999999994</v>
      </c>
      <c r="JM23" s="337">
        <v>571.14322900000002</v>
      </c>
      <c r="JN23" s="173">
        <v>17.328205000000001</v>
      </c>
      <c r="JO23" s="703">
        <v>100.485365861704</v>
      </c>
      <c r="JP23" s="704">
        <v>421.42158898040213</v>
      </c>
      <c r="JQ23" s="704">
        <v>589.59561081909658</v>
      </c>
      <c r="JR23" s="173">
        <v>47.649392537657612</v>
      </c>
      <c r="JS23" s="1137">
        <v>120.848890268989</v>
      </c>
      <c r="JT23" s="1138">
        <v>457.85046756474594</v>
      </c>
      <c r="JU23" s="1138">
        <v>555.94843039444402</v>
      </c>
      <c r="JV23" s="1139">
        <v>44.841306879912302</v>
      </c>
      <c r="JX23" s="169" t="s">
        <v>545</v>
      </c>
      <c r="JY23" s="703">
        <v>279.57135515930997</v>
      </c>
      <c r="JZ23" s="704">
        <v>353.40112640063899</v>
      </c>
      <c r="KA23" s="704">
        <v>222.07929439192699</v>
      </c>
      <c r="KB23" s="173">
        <v>324.43731915621697</v>
      </c>
      <c r="KC23" s="603"/>
      <c r="KD23" s="169" t="s">
        <v>545</v>
      </c>
      <c r="KE23" s="703">
        <v>5.7983732815579296</v>
      </c>
      <c r="KF23" s="704">
        <v>15.9828169988424</v>
      </c>
      <c r="KG23" s="704">
        <v>534.75109207568198</v>
      </c>
      <c r="KH23" s="704">
        <v>425.23322040106899</v>
      </c>
      <c r="KI23" s="704">
        <v>47.917850806354899</v>
      </c>
      <c r="KJ23" s="173">
        <v>41.541318178462902</v>
      </c>
      <c r="KK23" s="703">
        <v>14.5396631118843</v>
      </c>
      <c r="KL23" s="704">
        <v>74.223295807834006</v>
      </c>
      <c r="KM23" s="704">
        <v>8.6372339505875608</v>
      </c>
      <c r="KN23" s="704">
        <v>3.4343717530742</v>
      </c>
      <c r="KO23" s="704">
        <v>3.4255399453409199</v>
      </c>
      <c r="KP23" s="173">
        <v>1.01206493329811</v>
      </c>
      <c r="KQ23" s="703">
        <v>20.338036393442199</v>
      </c>
      <c r="KR23" s="704">
        <v>90.206112806676302</v>
      </c>
      <c r="KS23" s="704">
        <v>543.38832602626906</v>
      </c>
      <c r="KT23" s="704">
        <v>431.65984601824903</v>
      </c>
      <c r="KU23" s="704">
        <v>51.3433907516958</v>
      </c>
      <c r="KV23" s="173">
        <v>42.553383111761001</v>
      </c>
      <c r="KW23" s="429"/>
      <c r="KX23" s="169" t="s">
        <v>545</v>
      </c>
      <c r="KY23" s="172">
        <f t="shared" si="19"/>
        <v>407.14356199999997</v>
      </c>
      <c r="KZ23" s="337">
        <v>616.30938600000002</v>
      </c>
      <c r="LA23" s="173">
        <v>103.930688</v>
      </c>
      <c r="LB23" s="172">
        <f t="shared" si="3"/>
        <v>467.22947665412948</v>
      </c>
      <c r="LC23" s="704">
        <v>583.77982418886268</v>
      </c>
      <c r="LD23" s="173">
        <v>108.14265735586835</v>
      </c>
      <c r="LE23" s="172">
        <f t="shared" si="4"/>
        <v>488.56126338159481</v>
      </c>
      <c r="LF23" s="1138">
        <v>625.56267202701804</v>
      </c>
      <c r="LG23" s="1139">
        <v>65.365159699477104</v>
      </c>
      <c r="LH23" s="426"/>
      <c r="LI23" s="169" t="s">
        <v>545</v>
      </c>
      <c r="LJ23" s="703">
        <v>999.61943599999995</v>
      </c>
      <c r="LK23" s="704">
        <v>840.292239</v>
      </c>
      <c r="LL23" s="704">
        <v>159.32719700000001</v>
      </c>
      <c r="LM23" s="704">
        <v>303.00423000000001</v>
      </c>
      <c r="LN23" s="704">
        <v>93.438989000000007</v>
      </c>
      <c r="LO23" s="173">
        <v>122.938971</v>
      </c>
      <c r="LP23" s="703">
        <v>1053.3982392518551</v>
      </c>
      <c r="LQ23" s="704">
        <v>744.64999650685388</v>
      </c>
      <c r="LR23" s="704">
        <v>308.74824274500133</v>
      </c>
      <c r="LS23" s="704">
        <v>265.192157673145</v>
      </c>
      <c r="LT23" s="704">
        <v>75.769745840130369</v>
      </c>
      <c r="LU23" s="173">
        <v>128.43522654293079</v>
      </c>
      <c r="LV23" s="1137">
        <v>950.01816464146395</v>
      </c>
      <c r="LW23" s="1138">
        <v>676.89258008197896</v>
      </c>
      <c r="LX23" s="1138">
        <v>273.12558455948499</v>
      </c>
      <c r="LY23" s="1138">
        <v>314.66319491940402</v>
      </c>
      <c r="LZ23" s="1138">
        <v>67.544309731387898</v>
      </c>
      <c r="MA23" s="1139">
        <v>118.71381140330401</v>
      </c>
      <c r="MC23" s="169" t="s">
        <v>545</v>
      </c>
      <c r="MD23" s="703">
        <v>0</v>
      </c>
      <c r="ME23" s="704">
        <v>27.90615</v>
      </c>
      <c r="MF23" s="704">
        <v>70.407456999999994</v>
      </c>
      <c r="MG23" s="704">
        <v>164.25612100000001</v>
      </c>
      <c r="MH23" s="704">
        <v>354.66448300000002</v>
      </c>
      <c r="MI23" s="173">
        <v>226.05802399999999</v>
      </c>
      <c r="MJ23" s="703">
        <v>0</v>
      </c>
      <c r="MK23" s="704">
        <v>13.382958348303122</v>
      </c>
      <c r="ML23" s="704">
        <v>89.344700010248701</v>
      </c>
      <c r="MM23" s="704">
        <v>167.496643227612</v>
      </c>
      <c r="MN23" s="704">
        <v>287.7069778343423</v>
      </c>
      <c r="MO23" s="173">
        <v>185.71871786786053</v>
      </c>
      <c r="MP23" s="1137">
        <v>0</v>
      </c>
      <c r="MQ23" s="1138">
        <v>8.0607756143919307</v>
      </c>
      <c r="MR23" s="1138">
        <v>108.280971403983</v>
      </c>
      <c r="MS23" s="1138">
        <v>159.89209155344301</v>
      </c>
      <c r="MT23" s="1138">
        <v>240.74237553675499</v>
      </c>
      <c r="MU23" s="1139">
        <v>157.91636394263699</v>
      </c>
      <c r="MW23" s="169" t="s">
        <v>545</v>
      </c>
      <c r="MX23" s="172">
        <v>840.292239</v>
      </c>
      <c r="MY23" s="337">
        <v>796.48953600000004</v>
      </c>
      <c r="MZ23" s="337">
        <v>43.802701999999996</v>
      </c>
      <c r="NA23" s="703">
        <v>749.77652375044318</v>
      </c>
      <c r="NB23" s="704">
        <v>712.47009973698039</v>
      </c>
      <c r="NC23" s="173">
        <v>37.306424013462689</v>
      </c>
      <c r="ND23" s="1137">
        <v>682.36587162925002</v>
      </c>
      <c r="NE23" s="1138">
        <v>643.030076506618</v>
      </c>
      <c r="NF23" s="1139">
        <v>39.335795122632597</v>
      </c>
      <c r="NH23" s="169" t="s">
        <v>545</v>
      </c>
      <c r="NI23" s="703">
        <v>474.81205788779306</v>
      </c>
      <c r="NJ23" s="173">
        <v>237.65804184918741</v>
      </c>
      <c r="NK23" s="703">
        <v>29.047227947790777</v>
      </c>
      <c r="NL23" s="704">
        <v>8.2591960656719152</v>
      </c>
      <c r="NM23" s="173">
        <v>0</v>
      </c>
      <c r="NN23" s="1137">
        <v>435.60434636675899</v>
      </c>
      <c r="NO23" s="1139">
        <v>207.42573013985907</v>
      </c>
      <c r="NP23" s="1137">
        <v>35.287535389440102</v>
      </c>
      <c r="NQ23" s="1138">
        <v>4.0482597331924604</v>
      </c>
      <c r="NR23" s="1139">
        <v>0</v>
      </c>
      <c r="NS23" s="136"/>
      <c r="NT23" s="169" t="s">
        <v>545</v>
      </c>
      <c r="NU23" s="703">
        <v>131.75805681231074</v>
      </c>
      <c r="NV23" s="704">
        <v>35.413046081499843</v>
      </c>
      <c r="NW23" s="704">
        <v>5.1411806760118264</v>
      </c>
      <c r="NX23" s="173">
        <v>65.345758279364986</v>
      </c>
      <c r="NY23" s="1137">
        <v>107.356822623684</v>
      </c>
      <c r="NZ23" s="1138">
        <v>25.9736483346942</v>
      </c>
      <c r="OA23" s="1138">
        <v>7.3696596130669896</v>
      </c>
      <c r="OB23" s="1139">
        <v>66.725599568413898</v>
      </c>
      <c r="OC23" s="553"/>
      <c r="OD23" s="169" t="s">
        <v>545</v>
      </c>
      <c r="OE23" s="703">
        <v>69.763138226456206</v>
      </c>
      <c r="OF23" s="704">
        <v>112.339875233234</v>
      </c>
      <c r="OG23" s="704">
        <v>96.956711796783395</v>
      </c>
      <c r="OH23" s="704">
        <v>64.196367019126598</v>
      </c>
      <c r="OI23" s="704">
        <v>363.17101801276198</v>
      </c>
      <c r="OJ23" s="704">
        <v>53.393803159000498</v>
      </c>
      <c r="OK23" s="173">
        <v>32.578682339448498</v>
      </c>
      <c r="OL23" s="703">
        <v>86.338936447534493</v>
      </c>
      <c r="OM23" s="704">
        <v>112.339875233234</v>
      </c>
      <c r="ON23" s="704">
        <v>103.825455302932</v>
      </c>
      <c r="OO23" s="704">
        <v>70.612761018895299</v>
      </c>
      <c r="OP23" s="704">
        <v>472.457825307902</v>
      </c>
      <c r="OQ23" s="704">
        <v>186.316765172131</v>
      </c>
      <c r="OR23" s="173">
        <v>984.34404228991104</v>
      </c>
      <c r="OT23" s="169" t="s">
        <v>545</v>
      </c>
      <c r="OU23" s="172">
        <v>643.02654100000007</v>
      </c>
      <c r="OV23" s="337">
        <v>340.94869299999999</v>
      </c>
      <c r="OW23" s="337">
        <v>204.479625</v>
      </c>
      <c r="OX23" s="173">
        <v>252.37120199999998</v>
      </c>
      <c r="OY23" s="703">
        <v>494.93873714460921</v>
      </c>
      <c r="OZ23" s="704">
        <v>355.9011919573029</v>
      </c>
      <c r="PA23" s="704">
        <v>250.73455205874441</v>
      </c>
      <c r="PB23" s="173">
        <v>261.66750943833915</v>
      </c>
      <c r="PC23" s="1137">
        <v>305.64902284933692</v>
      </c>
      <c r="PD23" s="1138">
        <v>299.27343885128698</v>
      </c>
      <c r="PE23" s="1138">
        <v>224.84992674669201</v>
      </c>
      <c r="PF23" s="1139">
        <v>370.61913481118643</v>
      </c>
      <c r="PH23" s="169" t="s">
        <v>545</v>
      </c>
      <c r="PI23" s="703">
        <v>129.72406500993051</v>
      </c>
      <c r="PJ23" s="704">
        <v>153.94221399060399</v>
      </c>
      <c r="PK23" s="704">
        <v>61.484539161031201</v>
      </c>
      <c r="PL23" s="173">
        <v>170.15131719931378</v>
      </c>
      <c r="PM23" s="703">
        <v>175.9249578394064</v>
      </c>
      <c r="PN23" s="704">
        <v>145.33122486068399</v>
      </c>
      <c r="PO23" s="704">
        <v>163.36538758565999</v>
      </c>
      <c r="PP23" s="173">
        <v>200.46781761187219</v>
      </c>
      <c r="PQ23" s="65"/>
      <c r="PR23" s="169" t="s">
        <v>545</v>
      </c>
      <c r="PS23" s="1038">
        <v>15.1734583978483</v>
      </c>
      <c r="PT23" s="1039">
        <v>118.159085743221</v>
      </c>
      <c r="PU23" s="1039">
        <v>57.268655001394301</v>
      </c>
      <c r="PV23" s="1039">
        <v>10.6387401077377</v>
      </c>
      <c r="PW23" s="1039">
        <v>319.81083221001398</v>
      </c>
      <c r="PX23" s="1040">
        <v>159.31509813826401</v>
      </c>
      <c r="PZ23" s="169" t="s">
        <v>545</v>
      </c>
      <c r="QA23" s="1038">
        <v>453.62129393121802</v>
      </c>
      <c r="QB23" s="1039">
        <v>228.744577698032</v>
      </c>
      <c r="QC23" s="1039">
        <v>194.27717890755099</v>
      </c>
      <c r="QD23" s="1039">
        <v>12.484148790777599</v>
      </c>
      <c r="QE23" s="1039">
        <v>21.9832499997034</v>
      </c>
      <c r="QF23" s="1040">
        <v>0</v>
      </c>
    </row>
    <row r="24" spans="1:448" ht="13.5" customHeight="1">
      <c r="A24" s="591" t="s">
        <v>489</v>
      </c>
      <c r="B24" s="167" t="s">
        <v>546</v>
      </c>
      <c r="C24" s="1103">
        <v>2317.4032280000001</v>
      </c>
      <c r="D24" s="690">
        <v>3062.8020441888957</v>
      </c>
      <c r="E24" s="691">
        <v>2706.6162477348698</v>
      </c>
      <c r="F24" s="428"/>
      <c r="G24" s="169" t="s">
        <v>546</v>
      </c>
      <c r="H24" s="577">
        <f t="shared" si="5"/>
        <v>5.7361429514507289E-2</v>
      </c>
      <c r="I24" s="668">
        <f t="shared" si="6"/>
        <v>-2.4423003758613282E-2</v>
      </c>
      <c r="J24" s="612"/>
      <c r="K24" s="63"/>
      <c r="L24" s="167" t="s">
        <v>546</v>
      </c>
      <c r="M24" s="636">
        <v>30</v>
      </c>
      <c r="N24" s="637">
        <v>31</v>
      </c>
      <c r="O24" s="637">
        <v>34</v>
      </c>
      <c r="P24" s="637">
        <v>56</v>
      </c>
      <c r="Q24" s="637">
        <v>31</v>
      </c>
      <c r="R24" s="637">
        <v>46</v>
      </c>
      <c r="S24" s="637">
        <v>31</v>
      </c>
      <c r="T24" s="637">
        <v>45</v>
      </c>
      <c r="U24" s="1138">
        <v>30</v>
      </c>
      <c r="V24" s="1138">
        <v>39</v>
      </c>
      <c r="W24" s="1139">
        <v>24</v>
      </c>
      <c r="X24" s="169" t="s">
        <v>546</v>
      </c>
      <c r="Y24" s="666">
        <v>30.5</v>
      </c>
      <c r="Z24" s="667">
        <v>45</v>
      </c>
      <c r="AA24" s="667">
        <v>38.5</v>
      </c>
      <c r="AB24" s="667">
        <v>38</v>
      </c>
      <c r="AC24" s="667">
        <v>38</v>
      </c>
      <c r="AD24" s="668">
        <v>0.47540983606557374</v>
      </c>
      <c r="AE24" s="668">
        <v>-0.14444444444444443</v>
      </c>
      <c r="AF24" s="668">
        <v>-1.2987012987012988E-2</v>
      </c>
      <c r="AG24" s="1213">
        <v>-0.14444444444444443</v>
      </c>
      <c r="AN24" s="169" t="s">
        <v>546</v>
      </c>
      <c r="AO24" s="636">
        <v>0</v>
      </c>
      <c r="AP24" s="637">
        <v>25.998629999999999</v>
      </c>
      <c r="AQ24" s="637">
        <v>135.57338799999999</v>
      </c>
      <c r="AR24" s="637">
        <v>316.67557499999998</v>
      </c>
      <c r="AS24" s="637">
        <v>540.69708400000002</v>
      </c>
      <c r="AT24" s="637">
        <v>249.774519</v>
      </c>
      <c r="AU24" s="637">
        <v>245.99064200000001</v>
      </c>
      <c r="AV24" s="173">
        <v>371.00404900000001</v>
      </c>
      <c r="AW24" s="636">
        <v>0</v>
      </c>
      <c r="AX24" s="637">
        <v>28.029823049144991</v>
      </c>
      <c r="AY24" s="637">
        <v>157.206309024435</v>
      </c>
      <c r="AZ24" s="637">
        <v>373.34942845914446</v>
      </c>
      <c r="BA24" s="637">
        <v>571.36549680098165</v>
      </c>
      <c r="BB24" s="637">
        <v>331.89862817337712</v>
      </c>
      <c r="BC24" s="637">
        <v>307.25928348584523</v>
      </c>
      <c r="BD24" s="173">
        <v>623.91921130034893</v>
      </c>
      <c r="BE24" s="1137">
        <v>3.0371151438572399</v>
      </c>
      <c r="BF24" s="1138">
        <v>27.789551346373798</v>
      </c>
      <c r="BG24" s="1138">
        <v>137.78081338749701</v>
      </c>
      <c r="BH24" s="1138">
        <v>397.47043855157699</v>
      </c>
      <c r="BI24" s="1138">
        <v>416.39351435134398</v>
      </c>
      <c r="BJ24" s="1138">
        <v>355.091897776297</v>
      </c>
      <c r="BK24" s="1138">
        <v>306.55023227206101</v>
      </c>
      <c r="BL24" s="1139">
        <v>565.90682007330304</v>
      </c>
      <c r="BN24" s="169" t="s">
        <v>546</v>
      </c>
      <c r="BO24" s="647">
        <v>431.68934200000001</v>
      </c>
      <c r="BP24" s="648">
        <v>727.03185299999996</v>
      </c>
      <c r="BQ24" s="648">
        <v>582.77346999999997</v>
      </c>
      <c r="BR24" s="648">
        <v>321.73852599999998</v>
      </c>
      <c r="BS24" s="648">
        <v>169.00857199999999</v>
      </c>
      <c r="BT24" s="173">
        <v>85.161466000000004</v>
      </c>
      <c r="BU24" s="647">
        <v>669.77386389561798</v>
      </c>
      <c r="BV24" s="648">
        <v>910.80892405993643</v>
      </c>
      <c r="BW24" s="648">
        <v>635.90196277161294</v>
      </c>
      <c r="BX24" s="648">
        <v>477.76436939835423</v>
      </c>
      <c r="BY24" s="648">
        <v>250.79782357906464</v>
      </c>
      <c r="BZ24" s="173">
        <v>117.75510048430888</v>
      </c>
      <c r="CA24" s="1137">
        <v>496.59586483255998</v>
      </c>
      <c r="CB24" s="1138">
        <v>776.03031413095096</v>
      </c>
      <c r="CC24" s="1138">
        <v>643.02823583544796</v>
      </c>
      <c r="CD24" s="1138">
        <v>409.62449284405199</v>
      </c>
      <c r="CE24" s="1138">
        <v>266.13358532143599</v>
      </c>
      <c r="CF24" s="1139">
        <v>115.203754770424</v>
      </c>
      <c r="CG24" s="429"/>
      <c r="CH24" s="169" t="s">
        <v>546</v>
      </c>
      <c r="CI24" s="172">
        <v>571.74436100000003</v>
      </c>
      <c r="CJ24" s="337">
        <v>1568.8371199999999</v>
      </c>
      <c r="CK24" s="337">
        <v>176.82174699999999</v>
      </c>
      <c r="CL24" s="647">
        <v>1006.0263999069018</v>
      </c>
      <c r="CM24" s="648">
        <v>1782.8934093263904</v>
      </c>
      <c r="CN24" s="648">
        <v>273.88223495560322</v>
      </c>
      <c r="CO24" s="1137">
        <v>764.58939976503302</v>
      </c>
      <c r="CP24" s="1138">
        <v>1657.59169746832</v>
      </c>
      <c r="CQ24" s="1139">
        <v>284.43515050151501</v>
      </c>
      <c r="CR24" s="433"/>
      <c r="CS24" s="232" t="s">
        <v>645</v>
      </c>
      <c r="CT24" s="242">
        <f t="shared" si="20"/>
        <v>-7.8385743688597256E-2</v>
      </c>
      <c r="CU24" s="135">
        <f t="shared" si="21"/>
        <v>8.8160119812456195E-2</v>
      </c>
      <c r="CV24" s="135">
        <f t="shared" si="22"/>
        <v>-0.12218483669501558</v>
      </c>
      <c r="CW24" s="238">
        <f t="shared" si="23"/>
        <v>0.14133472611764522</v>
      </c>
      <c r="CX24" s="242">
        <f t="shared" si="24"/>
        <v>-8.0000594037611519E-2</v>
      </c>
      <c r="CY24" s="135">
        <f t="shared" si="25"/>
        <v>0.1039686422600747</v>
      </c>
      <c r="CZ24" s="135">
        <f t="shared" si="26"/>
        <v>-0.14571791038626836</v>
      </c>
      <c r="DA24" s="238">
        <f t="shared" si="27"/>
        <v>0.14926521597547684</v>
      </c>
      <c r="DB24" s="242">
        <f t="shared" si="28"/>
        <v>-0.11577274984261812</v>
      </c>
      <c r="DC24" s="135">
        <f t="shared" si="29"/>
        <v>0.11184870659974393</v>
      </c>
      <c r="DD24" s="135">
        <f t="shared" si="30"/>
        <v>-0.15452823780809713</v>
      </c>
      <c r="DE24" s="238">
        <f t="shared" si="31"/>
        <v>0.14598524231811297</v>
      </c>
      <c r="DG24" s="169" t="s">
        <v>546</v>
      </c>
      <c r="DH24" s="1147" t="s">
        <v>740</v>
      </c>
      <c r="DI24" s="1150" t="s">
        <v>846</v>
      </c>
      <c r="DJ24" s="704" t="s">
        <v>847</v>
      </c>
      <c r="DK24" s="704" t="s">
        <v>848</v>
      </c>
      <c r="DL24" s="337" t="s">
        <v>849</v>
      </c>
      <c r="DM24" s="174" t="s">
        <v>850</v>
      </c>
      <c r="DN24" s="451"/>
      <c r="DO24" s="167" t="s">
        <v>546</v>
      </c>
      <c r="DP24" s="704">
        <v>1237.310467</v>
      </c>
      <c r="DQ24" s="337">
        <v>1519.5020454339381</v>
      </c>
      <c r="DR24" s="1139">
        <v>1511.14902381653</v>
      </c>
      <c r="DS24" s="63"/>
      <c r="DT24" s="169" t="s">
        <v>546</v>
      </c>
      <c r="DU24" s="172">
        <v>2316.4032299999999</v>
      </c>
      <c r="DV24" s="337">
        <v>3062.8020441888957</v>
      </c>
      <c r="DW24" s="1139">
        <v>2706.6162477348698</v>
      </c>
      <c r="DX24" s="63"/>
      <c r="DY24" s="169" t="s">
        <v>546</v>
      </c>
      <c r="DZ24" s="1089">
        <f t="shared" si="0"/>
        <v>1.8721277252397153</v>
      </c>
      <c r="EA24" s="787">
        <f t="shared" si="1"/>
        <v>2.015661679030003</v>
      </c>
      <c r="EB24" s="776">
        <f t="shared" si="2"/>
        <v>1.7910981677366868</v>
      </c>
      <c r="EC24" s="55"/>
      <c r="ED24" s="541"/>
      <c r="EE24" s="169" t="s">
        <v>546</v>
      </c>
      <c r="EF24" s="735">
        <v>608.70718299999999</v>
      </c>
      <c r="EG24" s="736">
        <v>35.733342999999998</v>
      </c>
      <c r="EH24" s="736">
        <v>229.24846099999999</v>
      </c>
      <c r="EI24" s="736">
        <v>211.911722</v>
      </c>
      <c r="EJ24" s="736">
        <v>151.70975899999999</v>
      </c>
      <c r="EK24" s="703">
        <v>742.57015997806388</v>
      </c>
      <c r="EL24" s="704">
        <v>51.494778286901308</v>
      </c>
      <c r="EM24" s="704">
        <v>209.03661706142248</v>
      </c>
      <c r="EN24" s="704">
        <v>287.3451311142743</v>
      </c>
      <c r="EO24" s="704">
        <v>229.055358993276</v>
      </c>
      <c r="EP24" s="1137">
        <v>838.65206089521701</v>
      </c>
      <c r="EQ24" s="1138">
        <v>52.773001133832402</v>
      </c>
      <c r="ER24" s="1138">
        <v>230.46275073902299</v>
      </c>
      <c r="ES24" s="1138">
        <v>218.56607436179399</v>
      </c>
      <c r="ET24" s="1139">
        <v>170.69513668666201</v>
      </c>
      <c r="EV24" s="169" t="s">
        <v>546</v>
      </c>
      <c r="EW24" s="703">
        <v>188.651669</v>
      </c>
      <c r="EX24" s="704">
        <v>252.95571000000001</v>
      </c>
      <c r="EY24" s="704">
        <v>126.308672</v>
      </c>
      <c r="EZ24" s="704">
        <v>40.791131999999998</v>
      </c>
      <c r="FA24" s="703">
        <v>485.03764100000001</v>
      </c>
      <c r="FB24" s="704">
        <v>1033.975637</v>
      </c>
      <c r="FC24" s="704">
        <v>302.045796</v>
      </c>
      <c r="FD24" s="704">
        <v>63.654812999999997</v>
      </c>
      <c r="FE24" s="703">
        <v>232.71442532233925</v>
      </c>
      <c r="FF24" s="704">
        <v>296.93964371343588</v>
      </c>
      <c r="FG24" s="704">
        <v>172.89496783323995</v>
      </c>
      <c r="FH24" s="173">
        <v>40.021123109048801</v>
      </c>
      <c r="FI24" s="703">
        <v>655.12151023982028</v>
      </c>
      <c r="FJ24" s="704">
        <v>1265.8121187293204</v>
      </c>
      <c r="FK24" s="746">
        <v>402.581935579733</v>
      </c>
      <c r="FL24" s="747">
        <v>69.512615744403789</v>
      </c>
      <c r="FM24" s="1137">
        <v>277.90975680736602</v>
      </c>
      <c r="FN24" s="1138">
        <v>330.54330236132199</v>
      </c>
      <c r="FO24" s="1138">
        <v>196.66764546090201</v>
      </c>
      <c r="FP24" s="1139">
        <v>33.531356265627601</v>
      </c>
      <c r="FQ24" s="1137">
        <v>584.05495489236205</v>
      </c>
      <c r="FR24" s="1138">
        <v>1146.7336490412099</v>
      </c>
      <c r="FS24" s="1138">
        <v>420.052964143792</v>
      </c>
      <c r="FT24" s="1139">
        <v>59.178814824941703</v>
      </c>
      <c r="FV24" s="167" t="s">
        <v>546</v>
      </c>
      <c r="FW24" s="337">
        <v>248.53968499999999</v>
      </c>
      <c r="FX24" s="337">
        <v>186.40493599999999</v>
      </c>
      <c r="FY24" s="337">
        <v>109.90485</v>
      </c>
      <c r="FZ24" s="173">
        <v>48.020469999999996</v>
      </c>
      <c r="GA24" s="703">
        <v>237.38962690720405</v>
      </c>
      <c r="GB24" s="704">
        <v>210.40079863586612</v>
      </c>
      <c r="GC24" s="704">
        <v>164.23240972461957</v>
      </c>
      <c r="GD24" s="173">
        <v>113.41427190128306</v>
      </c>
      <c r="GE24" s="1137">
        <v>271.55316788553199</v>
      </c>
      <c r="GF24" s="1138">
        <v>160.98377622069799</v>
      </c>
      <c r="GG24" s="1138">
        <v>114.422111350827</v>
      </c>
      <c r="GH24" s="1139">
        <v>72.7649063304207</v>
      </c>
      <c r="GJ24" s="169" t="s">
        <v>546</v>
      </c>
      <c r="GK24" s="703">
        <v>1368.9984899999999</v>
      </c>
      <c r="GL24" s="704">
        <v>1648.9988124888782</v>
      </c>
      <c r="GM24" s="1139">
        <v>1695.0015343965199</v>
      </c>
      <c r="GO24" s="169" t="s">
        <v>546</v>
      </c>
      <c r="GP24" s="703">
        <v>1237.310467</v>
      </c>
      <c r="GQ24" s="704">
        <v>40.468635999999996</v>
      </c>
      <c r="GR24" s="173">
        <v>91.219386999999998</v>
      </c>
      <c r="GS24" s="703">
        <v>1519.5020454339381</v>
      </c>
      <c r="GT24" s="704">
        <v>13.425562906102702</v>
      </c>
      <c r="GU24" s="173">
        <v>116.07120414883759</v>
      </c>
      <c r="GV24" s="1137">
        <v>1511.14902381653</v>
      </c>
      <c r="GW24" s="1138">
        <v>27.106321692312399</v>
      </c>
      <c r="GX24" s="1139">
        <v>156.746188887681</v>
      </c>
      <c r="GZ24" s="169" t="s">
        <v>546</v>
      </c>
      <c r="HA24" s="172">
        <v>68.241529</v>
      </c>
      <c r="HB24" s="337">
        <v>1294.1285069999999</v>
      </c>
      <c r="HC24" s="173">
        <f t="shared" si="7"/>
        <v>6.6284540000001471</v>
      </c>
      <c r="HD24" s="703">
        <v>126.44594579987618</v>
      </c>
      <c r="HE24" s="704">
        <v>1514.4722951659855</v>
      </c>
      <c r="HF24" s="173">
        <f t="shared" si="8"/>
        <v>8.0805715230164878</v>
      </c>
      <c r="HG24" s="583">
        <v>121.638319764497</v>
      </c>
      <c r="HH24" s="1138">
        <v>1565.51460769697</v>
      </c>
      <c r="HI24" s="173">
        <f t="shared" si="9"/>
        <v>7.8486069350528851</v>
      </c>
      <c r="HK24" s="169" t="s">
        <v>546</v>
      </c>
      <c r="HL24" s="704">
        <v>1237.310467</v>
      </c>
      <c r="HM24" s="704">
        <v>3759.2946029999998</v>
      </c>
      <c r="HN24" s="776">
        <f t="shared" si="10"/>
        <v>3.0382791573038554</v>
      </c>
      <c r="HO24" s="703">
        <v>1519.5020454339381</v>
      </c>
      <c r="HP24" s="704">
        <v>4795.6490592851887</v>
      </c>
      <c r="HQ24" s="776">
        <f t="shared" si="11"/>
        <v>3.1560662084634781</v>
      </c>
      <c r="HR24" s="1138">
        <v>1511.14902381653</v>
      </c>
      <c r="HS24" s="1138">
        <v>4050.8896970214901</v>
      </c>
      <c r="HT24" s="784">
        <f t="shared" si="12"/>
        <v>2.6806685728391222</v>
      </c>
      <c r="HV24" s="169" t="s">
        <v>546</v>
      </c>
      <c r="HW24" s="172">
        <v>68.241529</v>
      </c>
      <c r="HX24" s="337">
        <v>321.464068</v>
      </c>
      <c r="HY24" s="787">
        <f t="shared" si="13"/>
        <v>4.7106809110329282</v>
      </c>
      <c r="HZ24" s="704">
        <v>1162.440484</v>
      </c>
      <c r="IA24" s="704">
        <v>3424.5736259999999</v>
      </c>
      <c r="IB24" s="787">
        <f t="shared" si="14"/>
        <v>2.9460206119249368</v>
      </c>
      <c r="IC24" s="703">
        <v>122.4026200861729</v>
      </c>
      <c r="ID24" s="704">
        <v>519.8306339367814</v>
      </c>
      <c r="IE24" s="787">
        <f t="shared" si="15"/>
        <v>4.2468913947333355</v>
      </c>
      <c r="IF24" s="704">
        <v>1389.0188538247487</v>
      </c>
      <c r="IG24" s="704">
        <v>4251.5767107793572</v>
      </c>
      <c r="IH24" s="776">
        <f t="shared" si="16"/>
        <v>3.0608488135869285</v>
      </c>
      <c r="II24" s="1137">
        <v>110.579102042589</v>
      </c>
      <c r="IJ24" s="1138">
        <v>518.60588755998504</v>
      </c>
      <c r="IK24" s="1170">
        <f t="shared" si="17"/>
        <v>4.6899086534474348</v>
      </c>
      <c r="IL24" s="1138">
        <v>1392.7213148388801</v>
      </c>
      <c r="IM24" s="1138">
        <v>3509.2886779334599</v>
      </c>
      <c r="IN24" s="1171">
        <f t="shared" si="18"/>
        <v>2.5197350256245912</v>
      </c>
      <c r="IP24" s="169" t="s">
        <v>546</v>
      </c>
      <c r="IQ24" s="703">
        <v>171.96451400000001</v>
      </c>
      <c r="IR24" s="704">
        <v>297.12146899999999</v>
      </c>
      <c r="IS24" s="704">
        <v>322.348026</v>
      </c>
      <c r="IT24" s="704">
        <v>254.38665</v>
      </c>
      <c r="IU24" s="704">
        <v>191.48980800000001</v>
      </c>
      <c r="IV24" s="704">
        <v>3759.2946029999998</v>
      </c>
      <c r="IW24" s="703">
        <v>199.01643458571985</v>
      </c>
      <c r="IX24" s="704">
        <v>280.50167038192637</v>
      </c>
      <c r="IY24" s="704">
        <v>483.33601126354768</v>
      </c>
      <c r="IZ24" s="704">
        <v>298.06038762184414</v>
      </c>
      <c r="JA24" s="704">
        <v>258.58754158089999</v>
      </c>
      <c r="JB24" s="173">
        <v>4795.6490592851887</v>
      </c>
      <c r="JC24" s="1137">
        <v>236.72048904163799</v>
      </c>
      <c r="JD24" s="1138">
        <v>510.48197254213801</v>
      </c>
      <c r="JE24" s="1138">
        <v>444.31566074346</v>
      </c>
      <c r="JF24" s="1138">
        <v>197.91505019612799</v>
      </c>
      <c r="JG24" s="1138">
        <v>121.715851293163</v>
      </c>
      <c r="JH24" s="1139">
        <v>4050.8896970214901</v>
      </c>
      <c r="JJ24" s="169" t="s">
        <v>546</v>
      </c>
      <c r="JK24" s="172">
        <v>55.358356999999998</v>
      </c>
      <c r="JL24" s="337">
        <v>591.09165500000006</v>
      </c>
      <c r="JM24" s="337">
        <v>587.54622800000004</v>
      </c>
      <c r="JN24" s="173">
        <v>3.3142269999999998</v>
      </c>
      <c r="JO24" s="703">
        <v>189.383138307602</v>
      </c>
      <c r="JP24" s="704">
        <v>503.25383213917132</v>
      </c>
      <c r="JQ24" s="704">
        <v>824.47814406261216</v>
      </c>
      <c r="JR24" s="173">
        <v>2.3869309245525399</v>
      </c>
      <c r="JS24" s="1137">
        <v>180.16170809880899</v>
      </c>
      <c r="JT24" s="1138">
        <v>494.61373182454008</v>
      </c>
      <c r="JU24" s="1138">
        <v>825.44608303476002</v>
      </c>
      <c r="JV24" s="1139">
        <v>10.9275008584194</v>
      </c>
      <c r="JX24" s="169" t="s">
        <v>546</v>
      </c>
      <c r="JY24" s="703">
        <v>380.78957166511998</v>
      </c>
      <c r="JZ24" s="704">
        <v>538.95754505049194</v>
      </c>
      <c r="KA24" s="704">
        <v>265.49486535634901</v>
      </c>
      <c r="KB24" s="173">
        <v>325.90704174456602</v>
      </c>
      <c r="KC24" s="603"/>
      <c r="KD24" s="169" t="s">
        <v>546</v>
      </c>
      <c r="KE24" s="703">
        <v>7.0792393553480704</v>
      </c>
      <c r="KF24" s="704">
        <v>15.162145043509399</v>
      </c>
      <c r="KG24" s="704">
        <v>288.00854393040902</v>
      </c>
      <c r="KH24" s="704">
        <v>374.41344090928402</v>
      </c>
      <c r="KI24" s="704">
        <v>380.617899449361</v>
      </c>
      <c r="KJ24" s="173">
        <v>326.545047602041</v>
      </c>
      <c r="KK24" s="703">
        <v>12.29243964838</v>
      </c>
      <c r="KL24" s="704">
        <v>42.5344604121522</v>
      </c>
      <c r="KM24" s="704">
        <v>24.250020465122301</v>
      </c>
      <c r="KN24" s="704">
        <v>11.989893830780201</v>
      </c>
      <c r="KO24" s="704">
        <v>3.0371151438572399</v>
      </c>
      <c r="KP24" s="173">
        <v>16.4751725422969</v>
      </c>
      <c r="KQ24" s="703">
        <v>19.371679003728101</v>
      </c>
      <c r="KR24" s="704">
        <v>57.696605455661597</v>
      </c>
      <c r="KS24" s="704">
        <v>312.25856439553098</v>
      </c>
      <c r="KT24" s="704">
        <v>389.43263965866299</v>
      </c>
      <c r="KU24" s="704">
        <v>387.57931806074703</v>
      </c>
      <c r="KV24" s="173">
        <v>343.915218693268</v>
      </c>
      <c r="KW24" s="429"/>
      <c r="KX24" s="169" t="s">
        <v>546</v>
      </c>
      <c r="KY24" s="172">
        <f t="shared" si="19"/>
        <v>368.233519</v>
      </c>
      <c r="KZ24" s="337">
        <v>669.87549100000001</v>
      </c>
      <c r="LA24" s="173">
        <v>199.201457</v>
      </c>
      <c r="LB24" s="172">
        <f t="shared" si="3"/>
        <v>528.48780523161906</v>
      </c>
      <c r="LC24" s="704">
        <v>799.67013579117031</v>
      </c>
      <c r="LD24" s="173">
        <v>191.34410441114866</v>
      </c>
      <c r="LE24" s="172">
        <f t="shared" si="4"/>
        <v>513.58638919584894</v>
      </c>
      <c r="LF24" s="1138">
        <v>798.78437515295104</v>
      </c>
      <c r="LG24" s="1139">
        <v>198.77825946773001</v>
      </c>
      <c r="LH24" s="426"/>
      <c r="LI24" s="169" t="s">
        <v>546</v>
      </c>
      <c r="LJ24" s="703">
        <v>1281.325587</v>
      </c>
      <c r="LK24" s="704">
        <v>1108.06799</v>
      </c>
      <c r="LL24" s="704">
        <v>173.257597</v>
      </c>
      <c r="LM24" s="704">
        <v>225.25511900000001</v>
      </c>
      <c r="LN24" s="704">
        <v>82.585133999999996</v>
      </c>
      <c r="LO24" s="173">
        <v>119.72629999999999</v>
      </c>
      <c r="LP24" s="703">
        <v>1490.6754559254036</v>
      </c>
      <c r="LQ24" s="704">
        <v>1172.3363758919472</v>
      </c>
      <c r="LR24" s="704">
        <v>318.33908003345647</v>
      </c>
      <c r="LS24" s="704">
        <v>418.32020526979301</v>
      </c>
      <c r="LT24" s="704">
        <v>63.985731010139112</v>
      </c>
      <c r="LU24" s="173">
        <v>146.16455313233848</v>
      </c>
      <c r="LV24" s="1137">
        <v>1359.2516574495901</v>
      </c>
      <c r="LW24" s="1138">
        <v>1103.2920871675201</v>
      </c>
      <c r="LX24" s="1138">
        <v>255.95957028207201</v>
      </c>
      <c r="LY24" s="1138">
        <v>378.15571341910402</v>
      </c>
      <c r="LZ24" s="1138">
        <v>42.288172503689999</v>
      </c>
      <c r="MA24" s="1139">
        <v>145.88968902841299</v>
      </c>
      <c r="MC24" s="169" t="s">
        <v>546</v>
      </c>
      <c r="MD24" s="703">
        <v>0</v>
      </c>
      <c r="ME24" s="704">
        <v>20.835906000000001</v>
      </c>
      <c r="MF24" s="704">
        <v>125.934518</v>
      </c>
      <c r="MG24" s="704">
        <v>282.64587799999998</v>
      </c>
      <c r="MH24" s="704">
        <v>474.59608300000002</v>
      </c>
      <c r="MI24" s="173">
        <v>204.05560500000001</v>
      </c>
      <c r="MJ24" s="703">
        <v>0</v>
      </c>
      <c r="MK24" s="704">
        <v>23.952460731952289</v>
      </c>
      <c r="ML24" s="704">
        <v>139.86261876265593</v>
      </c>
      <c r="MM24" s="704">
        <v>305.38111649220986</v>
      </c>
      <c r="MN24" s="704">
        <v>440.86497570265982</v>
      </c>
      <c r="MO24" s="173">
        <v>262.27520420246918</v>
      </c>
      <c r="MP24" s="1137">
        <v>3.0371151438572399</v>
      </c>
      <c r="MQ24" s="1138">
        <v>24.6346154585538</v>
      </c>
      <c r="MR24" s="1138">
        <v>121.56933921082501</v>
      </c>
      <c r="MS24" s="1138">
        <v>337.17641882337199</v>
      </c>
      <c r="MT24" s="1138">
        <v>327.49689024285902</v>
      </c>
      <c r="MU24" s="1139">
        <v>289.37770828804997</v>
      </c>
      <c r="MW24" s="169" t="s">
        <v>546</v>
      </c>
      <c r="MX24" s="172">
        <v>1108.06799</v>
      </c>
      <c r="MY24" s="337">
        <v>1075.9839199999999</v>
      </c>
      <c r="MZ24" s="337">
        <v>32.084069999999997</v>
      </c>
      <c r="NA24" s="703">
        <v>1188.4852649649815</v>
      </c>
      <c r="NB24" s="704">
        <v>1133.019859425294</v>
      </c>
      <c r="NC24" s="173">
        <v>55.465405539687467</v>
      </c>
      <c r="ND24" s="1137">
        <v>1115.4911851029001</v>
      </c>
      <c r="NE24" s="1138">
        <v>1043.97525589678</v>
      </c>
      <c r="NF24" s="1139">
        <v>71.515929206122493</v>
      </c>
      <c r="NH24" s="169" t="s">
        <v>546</v>
      </c>
      <c r="NI24" s="703">
        <v>894.7454913763728</v>
      </c>
      <c r="NJ24" s="173">
        <v>238.27436804892125</v>
      </c>
      <c r="NK24" s="703">
        <v>30.35959269342786</v>
      </c>
      <c r="NL24" s="704">
        <v>25.10581284625961</v>
      </c>
      <c r="NM24" s="173">
        <v>0</v>
      </c>
      <c r="NN24" s="1137">
        <v>765.32209841224005</v>
      </c>
      <c r="NO24" s="1139">
        <v>278.6531574845352</v>
      </c>
      <c r="NP24" s="1137">
        <v>57.587823044116803</v>
      </c>
      <c r="NQ24" s="1138">
        <v>13.928106162005699</v>
      </c>
      <c r="NR24" s="1139">
        <v>0</v>
      </c>
      <c r="NS24" s="136"/>
      <c r="NT24" s="169" t="s">
        <v>546</v>
      </c>
      <c r="NU24" s="703">
        <v>128.48367035603499</v>
      </c>
      <c r="NV24" s="704">
        <v>22.22440925918459</v>
      </c>
      <c r="NW24" s="704">
        <v>21.24823841023678</v>
      </c>
      <c r="NX24" s="173">
        <v>66.318050023464892</v>
      </c>
      <c r="NY24" s="1137">
        <v>156.45456551391899</v>
      </c>
      <c r="NZ24" s="1138">
        <v>42.026283819338403</v>
      </c>
      <c r="OA24" s="1138">
        <v>21.625673105914</v>
      </c>
      <c r="OB24" s="1139">
        <v>58.5466350453638</v>
      </c>
      <c r="OC24" s="553"/>
      <c r="OD24" s="169" t="s">
        <v>546</v>
      </c>
      <c r="OE24" s="703">
        <v>105.93189419850999</v>
      </c>
      <c r="OF24" s="704">
        <v>148.141014773309</v>
      </c>
      <c r="OG24" s="704">
        <v>106.619322455599</v>
      </c>
      <c r="OH24" s="704">
        <v>87.011674280756594</v>
      </c>
      <c r="OI24" s="704">
        <v>376.11459855832402</v>
      </c>
      <c r="OJ24" s="704">
        <v>26.098553755492901</v>
      </c>
      <c r="OK24" s="173">
        <v>39.229110806955902</v>
      </c>
      <c r="OL24" s="703">
        <v>148.27934726806899</v>
      </c>
      <c r="OM24" s="704">
        <v>148.141014773309</v>
      </c>
      <c r="ON24" s="704">
        <v>113.13606804046699</v>
      </c>
      <c r="OO24" s="704">
        <v>87.902645163799306</v>
      </c>
      <c r="OP24" s="704">
        <v>496.15230972856301</v>
      </c>
      <c r="OQ24" s="704">
        <v>191.975359238588</v>
      </c>
      <c r="OR24" s="173">
        <v>1433.99006877136</v>
      </c>
      <c r="OT24" s="169" t="s">
        <v>546</v>
      </c>
      <c r="OU24" s="172">
        <v>456.89248200000003</v>
      </c>
      <c r="OV24" s="337">
        <v>384.737686</v>
      </c>
      <c r="OW24" s="337">
        <v>287.95251200000001</v>
      </c>
      <c r="OX24" s="173">
        <v>434.73064899999997</v>
      </c>
      <c r="OY24" s="703">
        <v>608.71094726919944</v>
      </c>
      <c r="OZ24" s="704">
        <v>376.14487087578487</v>
      </c>
      <c r="PA24" s="704">
        <v>331.55539722554403</v>
      </c>
      <c r="PB24" s="173">
        <v>504.32601411142201</v>
      </c>
      <c r="PC24" s="1137">
        <v>442.1891058168473</v>
      </c>
      <c r="PD24" s="1138">
        <v>348.01028117312899</v>
      </c>
      <c r="PE24" s="1138">
        <v>335.015366728993</v>
      </c>
      <c r="PF24" s="1139">
        <v>556.35169178181206</v>
      </c>
      <c r="PH24" s="169" t="s">
        <v>546</v>
      </c>
      <c r="PI24" s="703">
        <v>177.46920306259477</v>
      </c>
      <c r="PJ24" s="704">
        <v>204.15481735582799</v>
      </c>
      <c r="PK24" s="704">
        <v>171.322118394797</v>
      </c>
      <c r="PL24" s="173">
        <v>240.9784239990106</v>
      </c>
      <c r="PM24" s="703">
        <v>264.71990275425247</v>
      </c>
      <c r="PN24" s="704">
        <v>143.85546381730001</v>
      </c>
      <c r="PO24" s="704">
        <v>163.693248334196</v>
      </c>
      <c r="PP24" s="173">
        <v>315.37326778280112</v>
      </c>
      <c r="PQ24" s="65"/>
      <c r="PR24" s="169" t="s">
        <v>546</v>
      </c>
      <c r="PS24" s="1038">
        <v>24.516208722675302</v>
      </c>
      <c r="PT24" s="1039">
        <v>169.539955815063</v>
      </c>
      <c r="PU24" s="1039">
        <v>103.083424657287</v>
      </c>
      <c r="PV24" s="1039">
        <v>17.077773110590599</v>
      </c>
      <c r="PW24" s="1039">
        <v>599.86715768023896</v>
      </c>
      <c r="PX24" s="1040">
        <v>201.40666511704299</v>
      </c>
      <c r="PZ24" s="169" t="s">
        <v>546</v>
      </c>
      <c r="QA24" s="1038">
        <v>794.635764898758</v>
      </c>
      <c r="QB24" s="1039">
        <v>320.85542020413999</v>
      </c>
      <c r="QC24" s="1039">
        <v>275.59595628587402</v>
      </c>
      <c r="QD24" s="1039">
        <v>12.8013501459944</v>
      </c>
      <c r="QE24" s="1039">
        <v>32.458113772271503</v>
      </c>
      <c r="QF24" s="1040">
        <v>0</v>
      </c>
    </row>
    <row r="25" spans="1:448" ht="13.5" customHeight="1">
      <c r="A25" s="591" t="s">
        <v>490</v>
      </c>
      <c r="B25" s="167" t="s">
        <v>547</v>
      </c>
      <c r="C25" s="1103">
        <v>2913.131523</v>
      </c>
      <c r="D25" s="690">
        <v>2703.3060629742004</v>
      </c>
      <c r="E25" s="691">
        <v>2771.4248669388999</v>
      </c>
      <c r="F25" s="428"/>
      <c r="G25" s="169" t="s">
        <v>547</v>
      </c>
      <c r="H25" s="577">
        <f t="shared" si="5"/>
        <v>-1.4839421380526518E-2</v>
      </c>
      <c r="I25" s="668">
        <f t="shared" si="6"/>
        <v>4.989624646034807E-3</v>
      </c>
      <c r="J25" s="612"/>
      <c r="K25" s="63"/>
      <c r="L25" s="167" t="s">
        <v>547</v>
      </c>
      <c r="M25" s="636">
        <v>24</v>
      </c>
      <c r="N25" s="637">
        <v>27</v>
      </c>
      <c r="O25" s="637">
        <v>34</v>
      </c>
      <c r="P25" s="637">
        <v>16</v>
      </c>
      <c r="Q25" s="637">
        <v>34</v>
      </c>
      <c r="R25" s="637">
        <v>28</v>
      </c>
      <c r="S25" s="637">
        <v>29</v>
      </c>
      <c r="T25" s="637">
        <v>30</v>
      </c>
      <c r="U25" s="1138">
        <v>32</v>
      </c>
      <c r="V25" s="1138">
        <v>34</v>
      </c>
      <c r="W25" s="1139">
        <v>21</v>
      </c>
      <c r="X25" s="169" t="s">
        <v>547</v>
      </c>
      <c r="Y25" s="666">
        <v>25.5</v>
      </c>
      <c r="Z25" s="667">
        <v>25</v>
      </c>
      <c r="AA25" s="667">
        <v>31</v>
      </c>
      <c r="AB25" s="667">
        <v>29.5</v>
      </c>
      <c r="AC25" s="667">
        <v>29.5</v>
      </c>
      <c r="AD25" s="668">
        <v>-1.9607843137254902E-2</v>
      </c>
      <c r="AE25" s="668">
        <v>0.24</v>
      </c>
      <c r="AF25" s="668">
        <v>-4.8387096774193547E-2</v>
      </c>
      <c r="AG25" s="1213">
        <v>0.24</v>
      </c>
      <c r="AN25" s="169" t="s">
        <v>547</v>
      </c>
      <c r="AO25" s="636">
        <v>1.0681620000000001</v>
      </c>
      <c r="AP25" s="637">
        <v>59.402622999999998</v>
      </c>
      <c r="AQ25" s="637">
        <v>459.64585699999998</v>
      </c>
      <c r="AR25" s="637">
        <v>435.91080599999998</v>
      </c>
      <c r="AS25" s="637">
        <v>321.10127499999999</v>
      </c>
      <c r="AT25" s="637">
        <v>70.126328999999998</v>
      </c>
      <c r="AU25" s="637">
        <v>587.80753800000002</v>
      </c>
      <c r="AV25" s="173">
        <v>508.75308000000001</v>
      </c>
      <c r="AW25" s="636">
        <v>0</v>
      </c>
      <c r="AX25" s="637">
        <v>59.718187049982099</v>
      </c>
      <c r="AY25" s="637">
        <v>506.58226616769082</v>
      </c>
      <c r="AZ25" s="637">
        <v>325.65114191185347</v>
      </c>
      <c r="BA25" s="637">
        <v>224.31509766525096</v>
      </c>
      <c r="BB25" s="637">
        <v>88.863533251442689</v>
      </c>
      <c r="BC25" s="637">
        <v>529.62485802782123</v>
      </c>
      <c r="BD25" s="173">
        <v>624.73964163602295</v>
      </c>
      <c r="BE25" s="1137">
        <v>3.3979789067823098</v>
      </c>
      <c r="BF25" s="1138">
        <v>52.749110671229602</v>
      </c>
      <c r="BG25" s="1138">
        <v>609.32861482097303</v>
      </c>
      <c r="BH25" s="1138">
        <v>368.80341486227701</v>
      </c>
      <c r="BI25" s="1138">
        <v>261.95073390368299</v>
      </c>
      <c r="BJ25" s="1138">
        <v>59.4164847686569</v>
      </c>
      <c r="BK25" s="1138">
        <v>516.32298398413604</v>
      </c>
      <c r="BL25" s="1139">
        <v>427.88572199083802</v>
      </c>
      <c r="BN25" s="169" t="s">
        <v>547</v>
      </c>
      <c r="BO25" s="647">
        <v>469.31585200000001</v>
      </c>
      <c r="BP25" s="648">
        <v>791.72903699999995</v>
      </c>
      <c r="BQ25" s="648">
        <v>499.89872400000002</v>
      </c>
      <c r="BR25" s="648">
        <v>510.77154999999999</v>
      </c>
      <c r="BS25" s="648">
        <v>410.27909899999997</v>
      </c>
      <c r="BT25" s="173">
        <v>231.13726</v>
      </c>
      <c r="BU25" s="647">
        <v>343.81133726413617</v>
      </c>
      <c r="BV25" s="648">
        <v>881.41114290792882</v>
      </c>
      <c r="BW25" s="648">
        <v>370.12228154299322</v>
      </c>
      <c r="BX25" s="648">
        <v>475.92604042968509</v>
      </c>
      <c r="BY25" s="648">
        <v>353.11541728878359</v>
      </c>
      <c r="BZ25" s="173">
        <v>278.91984354067347</v>
      </c>
      <c r="CA25" s="1137">
        <v>471.56982303032203</v>
      </c>
      <c r="CB25" s="1138">
        <v>713.23326972705502</v>
      </c>
      <c r="CC25" s="1138">
        <v>509.16701714089999</v>
      </c>
      <c r="CD25" s="1138">
        <v>431.80756580364698</v>
      </c>
      <c r="CE25" s="1138">
        <v>433.22275180879399</v>
      </c>
      <c r="CF25" s="1139">
        <v>212.42443942817999</v>
      </c>
      <c r="CG25" s="429"/>
      <c r="CH25" s="169" t="s">
        <v>547</v>
      </c>
      <c r="CI25" s="172">
        <v>690.12386400000003</v>
      </c>
      <c r="CJ25" s="337">
        <v>1722.3071170000001</v>
      </c>
      <c r="CK25" s="337">
        <v>500.70054199999998</v>
      </c>
      <c r="CL25" s="647">
        <v>652.69011687296279</v>
      </c>
      <c r="CM25" s="648">
        <v>1597.1695131340196</v>
      </c>
      <c r="CN25" s="648">
        <v>453.44643296721802</v>
      </c>
      <c r="CO25" s="1137">
        <v>729.33242086959206</v>
      </c>
      <c r="CP25" s="1138">
        <v>1577.5387292174601</v>
      </c>
      <c r="CQ25" s="1139">
        <v>464.55371685185099</v>
      </c>
      <c r="CR25" s="429"/>
      <c r="CS25" s="232" t="s">
        <v>646</v>
      </c>
      <c r="CT25" s="242">
        <f t="shared" si="20"/>
        <v>-7.475317517010048E-2</v>
      </c>
      <c r="CU25" s="135">
        <f t="shared" si="21"/>
        <v>0.10710973111898663</v>
      </c>
      <c r="CV25" s="135">
        <f t="shared" si="22"/>
        <v>-9.0456366580615719E-2</v>
      </c>
      <c r="CW25" s="238">
        <f t="shared" si="23"/>
        <v>0.1353303598889809</v>
      </c>
      <c r="CX25" s="242">
        <f t="shared" si="24"/>
        <v>-5.3534283151743065E-2</v>
      </c>
      <c r="CY25" s="135">
        <f t="shared" si="25"/>
        <v>0.10687493094613638</v>
      </c>
      <c r="CZ25" s="135">
        <f t="shared" si="26"/>
        <v>-8.8575806380207012E-2</v>
      </c>
      <c r="DA25" s="238">
        <f t="shared" si="27"/>
        <v>0.13423492577869059</v>
      </c>
      <c r="DB25" s="242">
        <f t="shared" si="28"/>
        <v>-5.4365886755146024E-2</v>
      </c>
      <c r="DC25" s="135">
        <f t="shared" si="29"/>
        <v>9.9589970873955658E-2</v>
      </c>
      <c r="DD25" s="135">
        <f t="shared" si="30"/>
        <v>-0.10080514478977859</v>
      </c>
      <c r="DE25" s="238">
        <f t="shared" si="31"/>
        <v>0.14492085072618086</v>
      </c>
      <c r="DG25" s="169" t="s">
        <v>547</v>
      </c>
      <c r="DH25" s="1147" t="s">
        <v>741</v>
      </c>
      <c r="DI25" s="1150" t="s">
        <v>746</v>
      </c>
      <c r="DJ25" s="704" t="s">
        <v>851</v>
      </c>
      <c r="DK25" s="704" t="s">
        <v>852</v>
      </c>
      <c r="DL25" s="337" t="s">
        <v>853</v>
      </c>
      <c r="DM25" s="174" t="s">
        <v>854</v>
      </c>
      <c r="DN25" s="451"/>
      <c r="DO25" s="167" t="s">
        <v>547</v>
      </c>
      <c r="DP25" s="704">
        <v>1601.78394</v>
      </c>
      <c r="DQ25" s="337">
        <v>1507.7067051315853</v>
      </c>
      <c r="DR25" s="1139">
        <v>1485.39744426276</v>
      </c>
      <c r="DS25" s="63"/>
      <c r="DT25" s="169" t="s">
        <v>547</v>
      </c>
      <c r="DU25" s="172">
        <v>2913.131523</v>
      </c>
      <c r="DV25" s="337">
        <v>2703.3060629742004</v>
      </c>
      <c r="DW25" s="1139">
        <v>2771.4248669388999</v>
      </c>
      <c r="DX25" s="63"/>
      <c r="DY25" s="169" t="s">
        <v>547</v>
      </c>
      <c r="DZ25" s="1089">
        <f t="shared" si="0"/>
        <v>1.8186794424970949</v>
      </c>
      <c r="EA25" s="787">
        <f t="shared" si="1"/>
        <v>1.7929920015433432</v>
      </c>
      <c r="EB25" s="776">
        <f t="shared" si="2"/>
        <v>1.8657800157414621</v>
      </c>
      <c r="EC25" s="55"/>
      <c r="ED25" s="541"/>
      <c r="EE25" s="169" t="s">
        <v>547</v>
      </c>
      <c r="EF25" s="735">
        <v>854.29033400000003</v>
      </c>
      <c r="EG25" s="736">
        <v>75.649159999999995</v>
      </c>
      <c r="EH25" s="736">
        <v>329.451641</v>
      </c>
      <c r="EI25" s="736">
        <v>252.090476</v>
      </c>
      <c r="EJ25" s="736">
        <v>90.302329</v>
      </c>
      <c r="EK25" s="703">
        <v>824.5814941532069</v>
      </c>
      <c r="EL25" s="704">
        <v>59.451676866006082</v>
      </c>
      <c r="EM25" s="704">
        <v>303.15049344878571</v>
      </c>
      <c r="EN25" s="704">
        <v>238.16870174328849</v>
      </c>
      <c r="EO25" s="704">
        <v>82.354338920298048</v>
      </c>
      <c r="EP25" s="1137">
        <v>787.87304767481896</v>
      </c>
      <c r="EQ25" s="1138">
        <v>34.757213206950503</v>
      </c>
      <c r="ER25" s="1138">
        <v>316.07536942790301</v>
      </c>
      <c r="ES25" s="1138">
        <v>258.87385606608598</v>
      </c>
      <c r="ET25" s="1139">
        <v>87.817957887003303</v>
      </c>
      <c r="EV25" s="169" t="s">
        <v>547</v>
      </c>
      <c r="EW25" s="703">
        <v>288.61419599999999</v>
      </c>
      <c r="EX25" s="704">
        <v>299.53137600000002</v>
      </c>
      <c r="EY25" s="704">
        <v>192.28979200000001</v>
      </c>
      <c r="EZ25" s="704">
        <v>73.854969999999994</v>
      </c>
      <c r="FA25" s="703">
        <v>583.55558699999995</v>
      </c>
      <c r="FB25" s="704">
        <v>1044.2478980000001</v>
      </c>
      <c r="FC25" s="704">
        <v>682.28107499999999</v>
      </c>
      <c r="FD25" s="704">
        <v>133.731112</v>
      </c>
      <c r="FE25" s="703">
        <v>328.45272368223732</v>
      </c>
      <c r="FF25" s="704">
        <v>250.7175235221647</v>
      </c>
      <c r="FG25" s="704">
        <v>159.06064243232527</v>
      </c>
      <c r="FH25" s="173">
        <v>86.350604516479734</v>
      </c>
      <c r="FI25" s="703">
        <v>671.52354165046199</v>
      </c>
      <c r="FJ25" s="704">
        <v>874.54574174014931</v>
      </c>
      <c r="FK25" s="746">
        <v>624.19773677153785</v>
      </c>
      <c r="FL25" s="747">
        <v>189.22770554791504</v>
      </c>
      <c r="FM25" s="1137">
        <v>264.488760458456</v>
      </c>
      <c r="FN25" s="1138">
        <v>256.96220101914901</v>
      </c>
      <c r="FO25" s="1138">
        <v>194.517642562643</v>
      </c>
      <c r="FP25" s="1139">
        <v>71.904443634570697</v>
      </c>
      <c r="FQ25" s="1137">
        <v>477.037532246963</v>
      </c>
      <c r="FR25" s="1138">
        <v>1045.8410393568499</v>
      </c>
      <c r="FS25" s="1138">
        <v>613.07579605739897</v>
      </c>
      <c r="FT25" s="1139">
        <v>163.90067624736699</v>
      </c>
      <c r="FV25" s="167" t="s">
        <v>547</v>
      </c>
      <c r="FW25" s="337">
        <v>366.20962600000001</v>
      </c>
      <c r="FX25" s="337">
        <v>125.383392</v>
      </c>
      <c r="FY25" s="337">
        <v>102.55584399999999</v>
      </c>
      <c r="FZ25" s="173">
        <v>78.763745999999998</v>
      </c>
      <c r="GA25" s="703">
        <v>319.71064543695712</v>
      </c>
      <c r="GB25" s="704">
        <v>128.98738439951683</v>
      </c>
      <c r="GC25" s="704">
        <v>112.14166324420404</v>
      </c>
      <c r="GD25" s="173">
        <v>62.833841031694242</v>
      </c>
      <c r="GE25" s="1137">
        <v>344.90399125154499</v>
      </c>
      <c r="GF25" s="1138">
        <v>147.36916780639399</v>
      </c>
      <c r="GG25" s="1138">
        <v>84.235682224951006</v>
      </c>
      <c r="GH25" s="1139">
        <v>86.258342098101792</v>
      </c>
      <c r="GJ25" s="169" t="s">
        <v>547</v>
      </c>
      <c r="GK25" s="703">
        <v>1792.4980459999999</v>
      </c>
      <c r="GL25" s="704">
        <v>1803.4988217070936</v>
      </c>
      <c r="GM25" s="1139">
        <v>1811.5015082487801</v>
      </c>
      <c r="GO25" s="169" t="s">
        <v>547</v>
      </c>
      <c r="GP25" s="703">
        <v>1601.78394</v>
      </c>
      <c r="GQ25" s="704">
        <v>32.582188000000002</v>
      </c>
      <c r="GR25" s="173">
        <v>158.13191800000001</v>
      </c>
      <c r="GS25" s="703">
        <v>1507.7067051315853</v>
      </c>
      <c r="GT25" s="704">
        <v>69.31063600524169</v>
      </c>
      <c r="GU25" s="173">
        <v>226.48148057026691</v>
      </c>
      <c r="GV25" s="1137">
        <v>1485.39744426276</v>
      </c>
      <c r="GW25" s="1138">
        <v>112.21905438738</v>
      </c>
      <c r="GX25" s="1139">
        <v>213.88500959863799</v>
      </c>
      <c r="GZ25" s="169" t="s">
        <v>547</v>
      </c>
      <c r="HA25" s="172">
        <v>831.63909899999999</v>
      </c>
      <c r="HB25" s="337">
        <v>945.71512299999995</v>
      </c>
      <c r="HC25" s="173">
        <f t="shared" si="7"/>
        <v>15.143823999999995</v>
      </c>
      <c r="HD25" s="703">
        <v>749.02492466134709</v>
      </c>
      <c r="HE25" s="704">
        <v>1041.3758445968654</v>
      </c>
      <c r="HF25" s="173">
        <f t="shared" si="8"/>
        <v>13.098052448881162</v>
      </c>
      <c r="HG25" s="583">
        <v>707.99729358017498</v>
      </c>
      <c r="HH25" s="1138">
        <v>1100.2190461929499</v>
      </c>
      <c r="HI25" s="173">
        <f t="shared" si="9"/>
        <v>3.2851684756551549</v>
      </c>
      <c r="HK25" s="169" t="s">
        <v>547</v>
      </c>
      <c r="HL25" s="704">
        <v>1601.78394</v>
      </c>
      <c r="HM25" s="704">
        <v>5997.097874</v>
      </c>
      <c r="HN25" s="776">
        <f t="shared" si="10"/>
        <v>3.7440117385619436</v>
      </c>
      <c r="HO25" s="703">
        <v>1507.7067051315853</v>
      </c>
      <c r="HP25" s="704">
        <v>5289.4181626149002</v>
      </c>
      <c r="HQ25" s="776">
        <f t="shared" si="11"/>
        <v>3.5082540553888863</v>
      </c>
      <c r="HR25" s="1138">
        <v>1485.39744426276</v>
      </c>
      <c r="HS25" s="1138">
        <v>5353.5197892134302</v>
      </c>
      <c r="HT25" s="784">
        <f t="shared" si="12"/>
        <v>3.6040992327615835</v>
      </c>
      <c r="HV25" s="169" t="s">
        <v>547</v>
      </c>
      <c r="HW25" s="172">
        <v>777.15071799999998</v>
      </c>
      <c r="HX25" s="337">
        <v>4259.2633239999996</v>
      </c>
      <c r="HY25" s="787">
        <f t="shared" si="13"/>
        <v>5.4806142815659085</v>
      </c>
      <c r="HZ25" s="704">
        <v>821.14193</v>
      </c>
      <c r="IA25" s="704">
        <v>1734.3432580000001</v>
      </c>
      <c r="IB25" s="787">
        <f t="shared" si="14"/>
        <v>2.1121114324292272</v>
      </c>
      <c r="IC25" s="703">
        <v>644.66260813167094</v>
      </c>
      <c r="ID25" s="704">
        <v>3416.4161183611332</v>
      </c>
      <c r="IE25" s="787">
        <f t="shared" si="15"/>
        <v>5.2995413031049221</v>
      </c>
      <c r="IF25" s="704">
        <v>853.26461087515634</v>
      </c>
      <c r="IG25" s="704">
        <v>1863.2225581290088</v>
      </c>
      <c r="IH25" s="776">
        <f t="shared" si="16"/>
        <v>2.1836397928398585</v>
      </c>
      <c r="II25" s="1137">
        <v>654.14092084775803</v>
      </c>
      <c r="IJ25" s="1138">
        <v>3574.1462752535799</v>
      </c>
      <c r="IK25" s="1170">
        <f t="shared" si="17"/>
        <v>5.4638781359550679</v>
      </c>
      <c r="IL25" s="1138">
        <v>827.97135493935298</v>
      </c>
      <c r="IM25" s="1138">
        <v>1776.0883454841901</v>
      </c>
      <c r="IN25" s="1171">
        <f t="shared" si="18"/>
        <v>2.1451084447411644</v>
      </c>
      <c r="IP25" s="169" t="s">
        <v>547</v>
      </c>
      <c r="IQ25" s="703">
        <v>259.336614</v>
      </c>
      <c r="IR25" s="704">
        <v>340.24212799999998</v>
      </c>
      <c r="IS25" s="704">
        <v>214.568826</v>
      </c>
      <c r="IT25" s="704">
        <v>227.06744499999999</v>
      </c>
      <c r="IU25" s="704">
        <v>560.56892600000003</v>
      </c>
      <c r="IV25" s="704">
        <v>5997.097874</v>
      </c>
      <c r="IW25" s="703">
        <v>289.17327863848919</v>
      </c>
      <c r="IX25" s="704">
        <v>325.66763319950934</v>
      </c>
      <c r="IY25" s="704">
        <v>239.95684073613251</v>
      </c>
      <c r="IZ25" s="704">
        <v>185.12844447122484</v>
      </c>
      <c r="JA25" s="704">
        <v>467.78050808622942</v>
      </c>
      <c r="JB25" s="173">
        <v>5289.4181626149002</v>
      </c>
      <c r="JC25" s="1137">
        <v>241.15754359627201</v>
      </c>
      <c r="JD25" s="1138">
        <v>350.88150261178703</v>
      </c>
      <c r="JE25" s="1138">
        <v>265.74300765838501</v>
      </c>
      <c r="JF25" s="1138">
        <v>152.465489250075</v>
      </c>
      <c r="JG25" s="1138">
        <v>475.14990114624197</v>
      </c>
      <c r="JH25" s="1139">
        <v>5353.5197892134302</v>
      </c>
      <c r="JJ25" s="169" t="s">
        <v>547</v>
      </c>
      <c r="JK25" s="172">
        <v>837.81529399999999</v>
      </c>
      <c r="JL25" s="337">
        <v>721.07982100000004</v>
      </c>
      <c r="JM25" s="337">
        <v>11.733981999999999</v>
      </c>
      <c r="JN25" s="173">
        <v>31.154843</v>
      </c>
      <c r="JO25" s="703">
        <v>728.57393686832552</v>
      </c>
      <c r="JP25" s="704">
        <v>731.9785992737809</v>
      </c>
      <c r="JQ25" s="704">
        <v>0</v>
      </c>
      <c r="JR25" s="173">
        <v>47.154168989478947</v>
      </c>
      <c r="JS25" s="1137">
        <v>739.619657397526</v>
      </c>
      <c r="JT25" s="1138">
        <v>721.15540458964313</v>
      </c>
      <c r="JU25" s="1138">
        <v>7.4976970828759102</v>
      </c>
      <c r="JV25" s="1139">
        <v>17.124685192717202</v>
      </c>
      <c r="JX25" s="169" t="s">
        <v>547</v>
      </c>
      <c r="JY25" s="703">
        <v>328.01685717681602</v>
      </c>
      <c r="JZ25" s="704">
        <v>426.62340187358802</v>
      </c>
      <c r="KA25" s="704">
        <v>216.36085050824599</v>
      </c>
      <c r="KB25" s="173">
        <v>514.39633470411195</v>
      </c>
      <c r="KC25" s="603"/>
      <c r="KD25" s="169" t="s">
        <v>547</v>
      </c>
      <c r="KE25" s="703">
        <v>84.017779340240907</v>
      </c>
      <c r="KF25" s="704">
        <v>98.217238234461107</v>
      </c>
      <c r="KG25" s="704">
        <v>235.845239909056</v>
      </c>
      <c r="KH25" s="704">
        <v>262.42308546940399</v>
      </c>
      <c r="KI25" s="704">
        <v>129.42297370597501</v>
      </c>
      <c r="KJ25" s="173">
        <v>14.7598698045653</v>
      </c>
      <c r="KK25" s="703">
        <v>289.61869408797997</v>
      </c>
      <c r="KL25" s="704">
        <v>240.268511019584</v>
      </c>
      <c r="KM25" s="704">
        <v>72.272219427087094</v>
      </c>
      <c r="KN25" s="704">
        <v>32.770377129580197</v>
      </c>
      <c r="KO25" s="704">
        <v>15.948449328538899</v>
      </c>
      <c r="KP25" s="173">
        <v>3.2626698549875899</v>
      </c>
      <c r="KQ25" s="703">
        <v>373.636473428221</v>
      </c>
      <c r="KR25" s="704">
        <v>338.485749254045</v>
      </c>
      <c r="KS25" s="704">
        <v>311.40262781179399</v>
      </c>
      <c r="KT25" s="704">
        <v>295.19346259898401</v>
      </c>
      <c r="KU25" s="704">
        <v>145.37142303451401</v>
      </c>
      <c r="KV25" s="173">
        <v>18.022539659552901</v>
      </c>
      <c r="KW25" s="429"/>
      <c r="KX25" s="169" t="s">
        <v>547</v>
      </c>
      <c r="KY25" s="172">
        <f t="shared" si="19"/>
        <v>325.65145400000006</v>
      </c>
      <c r="KZ25" s="337">
        <v>931.20121400000005</v>
      </c>
      <c r="LA25" s="173">
        <v>344.93127199999998</v>
      </c>
      <c r="LB25" s="172">
        <f t="shared" si="3"/>
        <v>423.08540374313884</v>
      </c>
      <c r="LC25" s="704">
        <v>779.52504286308852</v>
      </c>
      <c r="LD25" s="173">
        <v>305.09625852535788</v>
      </c>
      <c r="LE25" s="172">
        <f t="shared" si="4"/>
        <v>393.02601578265012</v>
      </c>
      <c r="LF25" s="1138">
        <v>747.97002291202102</v>
      </c>
      <c r="LG25" s="1139">
        <v>344.40140556808899</v>
      </c>
      <c r="LH25" s="426"/>
      <c r="LI25" s="169" t="s">
        <v>547</v>
      </c>
      <c r="LJ25" s="703">
        <v>1338.5777579999999</v>
      </c>
      <c r="LK25" s="704">
        <v>1172.0887290000001</v>
      </c>
      <c r="LL25" s="704">
        <v>166.48902899999999</v>
      </c>
      <c r="LM25" s="704">
        <v>380.16681</v>
      </c>
      <c r="LN25" s="704">
        <v>131.431556</v>
      </c>
      <c r="LO25" s="173">
        <v>92.939004999999995</v>
      </c>
      <c r="LP25" s="703">
        <v>1208.4038635185868</v>
      </c>
      <c r="LQ25" s="704">
        <v>1086.3290724826338</v>
      </c>
      <c r="LR25" s="704">
        <v>122.07479103595296</v>
      </c>
      <c r="LS25" s="704">
        <v>501.26119411707629</v>
      </c>
      <c r="LT25" s="704">
        <v>102.71223038318549</v>
      </c>
      <c r="LU25" s="173">
        <v>93.671004723997541</v>
      </c>
      <c r="LV25" s="1137">
        <v>1343.6417174203</v>
      </c>
      <c r="LW25" s="1138">
        <v>1205.5129009854199</v>
      </c>
      <c r="LX25" s="1138">
        <v>138.12881643488299</v>
      </c>
      <c r="LY25" s="1138">
        <v>342.14042237477503</v>
      </c>
      <c r="LZ25" s="1138">
        <v>84.234145613040099</v>
      </c>
      <c r="MA25" s="1139">
        <v>65.285041648607006</v>
      </c>
      <c r="MC25" s="169" t="s">
        <v>547</v>
      </c>
      <c r="MD25" s="703">
        <v>1.0681620000000001</v>
      </c>
      <c r="ME25" s="704">
        <v>55.911330999999997</v>
      </c>
      <c r="MF25" s="704">
        <v>431.144678</v>
      </c>
      <c r="MG25" s="704">
        <v>403.50187</v>
      </c>
      <c r="MH25" s="704">
        <v>232.83276699999999</v>
      </c>
      <c r="MI25" s="173">
        <v>47.629921000000003</v>
      </c>
      <c r="MJ25" s="703">
        <v>0</v>
      </c>
      <c r="MK25" s="704">
        <v>56.356447044061788</v>
      </c>
      <c r="ML25" s="704">
        <v>489.92900404285467</v>
      </c>
      <c r="MM25" s="704">
        <v>282.58626324152584</v>
      </c>
      <c r="MN25" s="704">
        <v>181.70698562606049</v>
      </c>
      <c r="MO25" s="173">
        <v>75.750372528131081</v>
      </c>
      <c r="MP25" s="1137">
        <v>3.3979789067823098</v>
      </c>
      <c r="MQ25" s="1138">
        <v>39.5237997943576</v>
      </c>
      <c r="MR25" s="1138">
        <v>567.99677524434605</v>
      </c>
      <c r="MS25" s="1138">
        <v>327.173666398254</v>
      </c>
      <c r="MT25" s="1138">
        <v>226.304053234002</v>
      </c>
      <c r="MU25" s="1139">
        <v>41.116627407678699</v>
      </c>
      <c r="MW25" s="169" t="s">
        <v>547</v>
      </c>
      <c r="MX25" s="172">
        <v>1187.3750239999999</v>
      </c>
      <c r="MY25" s="337">
        <v>1032.662249</v>
      </c>
      <c r="MZ25" s="337">
        <v>154.71277499999999</v>
      </c>
      <c r="NA25" s="703">
        <v>1092.9813108118092</v>
      </c>
      <c r="NB25" s="704">
        <v>915.75925631641041</v>
      </c>
      <c r="NC25" s="173">
        <v>177.2220544953986</v>
      </c>
      <c r="ND25" s="1137">
        <v>1228.4502713087099</v>
      </c>
      <c r="NE25" s="1138">
        <v>1037.8088401234099</v>
      </c>
      <c r="NF25" s="1139">
        <v>190.641431185307</v>
      </c>
      <c r="NH25" s="169" t="s">
        <v>547</v>
      </c>
      <c r="NI25" s="703">
        <v>682.75447680476088</v>
      </c>
      <c r="NJ25" s="173">
        <v>233.00477951164962</v>
      </c>
      <c r="NK25" s="703">
        <v>103.72714610133238</v>
      </c>
      <c r="NL25" s="704">
        <v>73.494908394066201</v>
      </c>
      <c r="NM25" s="173">
        <v>0</v>
      </c>
      <c r="NN25" s="1137">
        <v>793.65392443068799</v>
      </c>
      <c r="NO25" s="1139">
        <v>244.154915692717</v>
      </c>
      <c r="NP25" s="1137">
        <v>108.41591533195</v>
      </c>
      <c r="NQ25" s="1138">
        <v>82.225515853356399</v>
      </c>
      <c r="NR25" s="1139">
        <v>0</v>
      </c>
      <c r="NS25" s="136"/>
      <c r="NT25" s="169" t="s">
        <v>547</v>
      </c>
      <c r="NU25" s="703">
        <v>153.96574670181815</v>
      </c>
      <c r="NV25" s="704">
        <v>13.39082920894784</v>
      </c>
      <c r="NW25" s="704">
        <v>19.92079070243393</v>
      </c>
      <c r="NX25" s="173">
        <v>45.7274128984497</v>
      </c>
      <c r="NY25" s="1137">
        <v>147.301411858015</v>
      </c>
      <c r="NZ25" s="1138">
        <v>15.323336125546501</v>
      </c>
      <c r="OA25" s="1138">
        <v>18.8111465876013</v>
      </c>
      <c r="OB25" s="1139">
        <v>62.719021121554199</v>
      </c>
      <c r="OC25" s="553"/>
      <c r="OD25" s="169" t="s">
        <v>547</v>
      </c>
      <c r="OE25" s="703">
        <v>104.498531724545</v>
      </c>
      <c r="OF25" s="704">
        <v>163.00600931464399</v>
      </c>
      <c r="OG25" s="704">
        <v>115.047761712862</v>
      </c>
      <c r="OH25" s="704">
        <v>94.437292091394696</v>
      </c>
      <c r="OI25" s="704">
        <v>325.683426975016</v>
      </c>
      <c r="OJ25" s="704">
        <v>85.108090401668306</v>
      </c>
      <c r="OK25" s="173">
        <v>32.441558889358603</v>
      </c>
      <c r="OL25" s="703">
        <v>140.21171836836299</v>
      </c>
      <c r="OM25" s="704">
        <v>163.00600931464399</v>
      </c>
      <c r="ON25" s="704">
        <v>118.33293018851199</v>
      </c>
      <c r="OO25" s="704">
        <v>94.437292091394696</v>
      </c>
      <c r="OP25" s="704">
        <v>382.60024015556797</v>
      </c>
      <c r="OQ25" s="704">
        <v>236.19573748009199</v>
      </c>
      <c r="OR25" s="173">
        <v>1586.6217741815201</v>
      </c>
      <c r="OT25" s="169" t="s">
        <v>547</v>
      </c>
      <c r="OU25" s="172">
        <v>350.71118100000001</v>
      </c>
      <c r="OV25" s="337">
        <v>230.12023400000001</v>
      </c>
      <c r="OW25" s="337">
        <v>319.76351799999998</v>
      </c>
      <c r="OX25" s="173">
        <v>1026.4838159999999</v>
      </c>
      <c r="OY25" s="703">
        <v>261.48104784196562</v>
      </c>
      <c r="OZ25" s="704">
        <v>155.5424975433985</v>
      </c>
      <c r="PA25" s="704">
        <v>280.87540883824522</v>
      </c>
      <c r="PB25" s="173">
        <v>988.67322086538763</v>
      </c>
      <c r="PC25" s="1137">
        <v>164.54596754278009</v>
      </c>
      <c r="PD25" s="1138">
        <v>119.854244020284</v>
      </c>
      <c r="PE25" s="1138">
        <v>231.54131319159401</v>
      </c>
      <c r="PF25" s="1139">
        <v>1246.2431507964811</v>
      </c>
      <c r="PH25" s="169" t="s">
        <v>547</v>
      </c>
      <c r="PI25" s="703">
        <v>71.330464337332501</v>
      </c>
      <c r="PJ25" s="704">
        <v>59.407274773523397</v>
      </c>
      <c r="PK25" s="704">
        <v>101.46957384598799</v>
      </c>
      <c r="PL25" s="173">
        <v>566.51364957533133</v>
      </c>
      <c r="PM25" s="703">
        <v>93.215503205447703</v>
      </c>
      <c r="PN25" s="704">
        <v>60.446969246760602</v>
      </c>
      <c r="PO25" s="704">
        <v>130.071739345607</v>
      </c>
      <c r="PP25" s="173">
        <v>679.72950122115003</v>
      </c>
      <c r="PQ25" s="65"/>
      <c r="PR25" s="169" t="s">
        <v>547</v>
      </c>
      <c r="PS25" s="1038">
        <v>34.244861812279403</v>
      </c>
      <c r="PT25" s="1039">
        <v>260.25396143054098</v>
      </c>
      <c r="PU25" s="1039">
        <v>166.43829632370901</v>
      </c>
      <c r="PV25" s="1039">
        <v>9.2996357140733306</v>
      </c>
      <c r="PW25" s="1039">
        <v>546.364683948211</v>
      </c>
      <c r="PX25" s="1040">
        <v>211.84883207989799</v>
      </c>
      <c r="PZ25" s="169" t="s">
        <v>547</v>
      </c>
      <c r="QA25" s="1038">
        <v>770.568259822237</v>
      </c>
      <c r="QB25" s="1039">
        <v>457.88201148647499</v>
      </c>
      <c r="QC25" s="1039">
        <v>288.90692860431398</v>
      </c>
      <c r="QD25" s="1039">
        <v>49.370346551809</v>
      </c>
      <c r="QE25" s="1039">
        <v>116.333654583133</v>
      </c>
      <c r="QF25" s="1040">
        <v>3.2710817472195299</v>
      </c>
    </row>
    <row r="26" spans="1:448" ht="13.5" customHeight="1">
      <c r="A26" s="591" t="s">
        <v>491</v>
      </c>
      <c r="B26" s="167" t="s">
        <v>548</v>
      </c>
      <c r="C26" s="1103">
        <v>2254.5638250000002</v>
      </c>
      <c r="D26" s="690">
        <v>2344.3860903168402</v>
      </c>
      <c r="E26" s="691">
        <v>2648.92871423628</v>
      </c>
      <c r="F26" s="428"/>
      <c r="G26" s="169" t="s">
        <v>548</v>
      </c>
      <c r="H26" s="577">
        <f t="shared" si="5"/>
        <v>7.8440131195522955E-3</v>
      </c>
      <c r="I26" s="668">
        <f t="shared" si="6"/>
        <v>2.4727112469135282E-2</v>
      </c>
      <c r="J26" s="612"/>
      <c r="K26" s="63"/>
      <c r="L26" s="167" t="s">
        <v>548</v>
      </c>
      <c r="M26" s="636">
        <v>33</v>
      </c>
      <c r="N26" s="637">
        <v>35</v>
      </c>
      <c r="O26" s="637">
        <v>24</v>
      </c>
      <c r="P26" s="637">
        <v>31</v>
      </c>
      <c r="Q26" s="637">
        <v>23</v>
      </c>
      <c r="R26" s="637">
        <v>23</v>
      </c>
      <c r="S26" s="637">
        <v>32</v>
      </c>
      <c r="T26" s="637">
        <v>30</v>
      </c>
      <c r="U26" s="1138">
        <v>23</v>
      </c>
      <c r="V26" s="1138">
        <v>25</v>
      </c>
      <c r="W26" s="1139">
        <v>30</v>
      </c>
      <c r="X26" s="169" t="s">
        <v>548</v>
      </c>
      <c r="Y26" s="666">
        <v>34</v>
      </c>
      <c r="Z26" s="667">
        <v>27.5</v>
      </c>
      <c r="AA26" s="667">
        <v>23</v>
      </c>
      <c r="AB26" s="667">
        <v>31</v>
      </c>
      <c r="AC26" s="667">
        <v>31</v>
      </c>
      <c r="AD26" s="668">
        <v>-0.19117647058823528</v>
      </c>
      <c r="AE26" s="668">
        <v>-0.16363636363636364</v>
      </c>
      <c r="AF26" s="668">
        <v>0.34782608695652173</v>
      </c>
      <c r="AG26" s="1213">
        <v>-0.16363636363636364</v>
      </c>
      <c r="AN26" s="169" t="s">
        <v>548</v>
      </c>
      <c r="AO26" s="636">
        <v>0.93072900000000003</v>
      </c>
      <c r="AP26" s="637">
        <v>32.346038999999998</v>
      </c>
      <c r="AQ26" s="637">
        <v>211.31826599999999</v>
      </c>
      <c r="AR26" s="637">
        <v>433.09178000000003</v>
      </c>
      <c r="AS26" s="637">
        <v>372.13707699999998</v>
      </c>
      <c r="AT26" s="637">
        <v>181.68473499999999</v>
      </c>
      <c r="AU26" s="637">
        <v>379.97723000000002</v>
      </c>
      <c r="AV26" s="173">
        <v>313.90356200000002</v>
      </c>
      <c r="AW26" s="636">
        <v>0</v>
      </c>
      <c r="AX26" s="637">
        <v>51.915944758818938</v>
      </c>
      <c r="AY26" s="637">
        <v>306.01137969527275</v>
      </c>
      <c r="AZ26" s="637">
        <v>437.72621415090873</v>
      </c>
      <c r="BA26" s="637">
        <v>263.60991459203586</v>
      </c>
      <c r="BB26" s="637">
        <v>124.56507327800782</v>
      </c>
      <c r="BC26" s="637">
        <v>506.58763757098569</v>
      </c>
      <c r="BD26" s="173">
        <v>401.91832082135153</v>
      </c>
      <c r="BE26" s="1137">
        <v>3.73601602765403</v>
      </c>
      <c r="BF26" s="1138">
        <v>78.820324092108095</v>
      </c>
      <c r="BG26" s="1138">
        <v>323.70328446680099</v>
      </c>
      <c r="BH26" s="1138">
        <v>500.83105820882997</v>
      </c>
      <c r="BI26" s="1138">
        <v>358.79285417387803</v>
      </c>
      <c r="BJ26" s="1138">
        <v>212.360861149681</v>
      </c>
      <c r="BK26" s="1138">
        <v>430.44988210975498</v>
      </c>
      <c r="BL26" s="1139">
        <v>361.54766392966502</v>
      </c>
      <c r="BN26" s="169" t="s">
        <v>548</v>
      </c>
      <c r="BO26" s="647">
        <v>333.17440099999999</v>
      </c>
      <c r="BP26" s="648">
        <v>692.78394900000001</v>
      </c>
      <c r="BQ26" s="648">
        <v>542.64166399999999</v>
      </c>
      <c r="BR26" s="648">
        <v>272.04421000000002</v>
      </c>
      <c r="BS26" s="648">
        <v>205.32139699999999</v>
      </c>
      <c r="BT26" s="173">
        <v>208.59820300000001</v>
      </c>
      <c r="BU26" s="647">
        <v>253.05160466794555</v>
      </c>
      <c r="BV26" s="648">
        <v>739.40355394214248</v>
      </c>
      <c r="BW26" s="648">
        <v>430.28414354680569</v>
      </c>
      <c r="BX26" s="648">
        <v>339.55988305247217</v>
      </c>
      <c r="BY26" s="648">
        <v>321.60149168616931</v>
      </c>
      <c r="BZ26" s="173">
        <v>260.48541342130454</v>
      </c>
      <c r="CA26" s="1137">
        <v>378.68677007790598</v>
      </c>
      <c r="CB26" s="1138">
        <v>759.00227877761904</v>
      </c>
      <c r="CC26" s="1138">
        <v>577.96329458097205</v>
      </c>
      <c r="CD26" s="1138">
        <v>416.49356085920903</v>
      </c>
      <c r="CE26" s="1138">
        <v>337.70978986127602</v>
      </c>
      <c r="CF26" s="1139">
        <v>179.07302007929599</v>
      </c>
      <c r="CG26" s="429"/>
      <c r="CH26" s="169" t="s">
        <v>548</v>
      </c>
      <c r="CI26" s="172">
        <v>448.54285599999997</v>
      </c>
      <c r="CJ26" s="337">
        <v>1486.1788340000001</v>
      </c>
      <c r="CK26" s="337">
        <v>319.84213399999999</v>
      </c>
      <c r="CL26" s="647">
        <v>412.74991600210944</v>
      </c>
      <c r="CM26" s="648">
        <v>1481.3692057471055</v>
      </c>
      <c r="CN26" s="648">
        <v>450.26696856762464</v>
      </c>
      <c r="CO26" s="1137">
        <v>564.08832406392105</v>
      </c>
      <c r="CP26" s="1138">
        <v>1673.9305648765901</v>
      </c>
      <c r="CQ26" s="1139">
        <v>410.90982529577002</v>
      </c>
      <c r="CR26" s="429"/>
      <c r="CS26" s="233" t="s">
        <v>647</v>
      </c>
      <c r="CT26" s="243">
        <f t="shared" si="20"/>
        <v>-6.2613652382873905E-2</v>
      </c>
      <c r="CU26" s="239">
        <f t="shared" si="21"/>
        <v>9.5972585392838497E-2</v>
      </c>
      <c r="CV26" s="239">
        <f t="shared" si="22"/>
        <v>-5.362355924238893E-2</v>
      </c>
      <c r="CW26" s="240">
        <f t="shared" si="23"/>
        <v>9.7564333361972039E-2</v>
      </c>
      <c r="CX26" s="243">
        <f t="shared" si="24"/>
        <v>-4.5874059928653073E-2</v>
      </c>
      <c r="CY26" s="239">
        <f t="shared" si="25"/>
        <v>9.2940662036169991E-2</v>
      </c>
      <c r="CZ26" s="239">
        <f t="shared" si="26"/>
        <v>-5.2056234655836156E-2</v>
      </c>
      <c r="DA26" s="240">
        <f t="shared" si="27"/>
        <v>0.10207576712399247</v>
      </c>
      <c r="DB26" s="243">
        <f t="shared" si="28"/>
        <v>-4.2780655108756352E-2</v>
      </c>
      <c r="DC26" s="239">
        <f t="shared" si="29"/>
        <v>8.0903549292843671E-2</v>
      </c>
      <c r="DD26" s="239">
        <f t="shared" si="30"/>
        <v>-5.4786263881917575E-2</v>
      </c>
      <c r="DE26" s="240">
        <f t="shared" si="31"/>
        <v>9.251217940146024E-2</v>
      </c>
      <c r="DG26" s="169" t="s">
        <v>548</v>
      </c>
      <c r="DH26" s="1147" t="s">
        <v>742</v>
      </c>
      <c r="DI26" s="1150" t="s">
        <v>855</v>
      </c>
      <c r="DJ26" s="704" t="s">
        <v>856</v>
      </c>
      <c r="DK26" s="704" t="s">
        <v>857</v>
      </c>
      <c r="DL26" s="337" t="s">
        <v>858</v>
      </c>
      <c r="DM26" s="174" t="s">
        <v>859</v>
      </c>
      <c r="DN26" s="451"/>
      <c r="DO26" s="167" t="s">
        <v>548</v>
      </c>
      <c r="DP26" s="704">
        <v>1289.255529</v>
      </c>
      <c r="DQ26" s="337">
        <v>1317.3406107450833</v>
      </c>
      <c r="DR26" s="1139">
        <v>1522.938204628</v>
      </c>
      <c r="DS26" s="63"/>
      <c r="DT26" s="169" t="s">
        <v>548</v>
      </c>
      <c r="DU26" s="172">
        <v>2214.5638730000001</v>
      </c>
      <c r="DV26" s="337">
        <v>2313.3861145437345</v>
      </c>
      <c r="DW26" s="1139">
        <v>2648.92871423628</v>
      </c>
      <c r="DX26" s="63"/>
      <c r="DY26" s="169" t="s">
        <v>548</v>
      </c>
      <c r="DZ26" s="1089">
        <f t="shared" si="0"/>
        <v>1.7177074855887626</v>
      </c>
      <c r="EA26" s="787">
        <f t="shared" si="1"/>
        <v>1.7561032398714949</v>
      </c>
      <c r="EB26" s="776">
        <f t="shared" si="2"/>
        <v>1.7393540369442106</v>
      </c>
      <c r="EC26" s="55"/>
      <c r="ED26" s="541"/>
      <c r="EE26" s="169" t="s">
        <v>548</v>
      </c>
      <c r="EF26" s="735">
        <v>698.153415</v>
      </c>
      <c r="EG26" s="736">
        <v>44.140644999999999</v>
      </c>
      <c r="EH26" s="736">
        <v>287.84120000000001</v>
      </c>
      <c r="EI26" s="736">
        <v>156.50074599999999</v>
      </c>
      <c r="EJ26" s="736">
        <v>102.619523</v>
      </c>
      <c r="EK26" s="703">
        <v>658.26493021451199</v>
      </c>
      <c r="EL26" s="704">
        <v>77.152797456123153</v>
      </c>
      <c r="EM26" s="704">
        <v>340.78272632872176</v>
      </c>
      <c r="EN26" s="704">
        <v>156.3124754525339</v>
      </c>
      <c r="EO26" s="704">
        <v>84.827681293192541</v>
      </c>
      <c r="EP26" s="1137">
        <v>856.76774369280395</v>
      </c>
      <c r="EQ26" s="1138">
        <v>44.030282598025998</v>
      </c>
      <c r="ER26" s="1138">
        <v>293.829739439322</v>
      </c>
      <c r="ES26" s="1138">
        <v>207.12376858757099</v>
      </c>
      <c r="ET26" s="1139">
        <v>121.186670310278</v>
      </c>
      <c r="EV26" s="169" t="s">
        <v>548</v>
      </c>
      <c r="EW26" s="703">
        <v>193.50648200000001</v>
      </c>
      <c r="EX26" s="704">
        <v>294.226024</v>
      </c>
      <c r="EY26" s="704">
        <v>156.479356</v>
      </c>
      <c r="EZ26" s="704">
        <v>53.941552999999999</v>
      </c>
      <c r="FA26" s="703">
        <v>452.04116099999999</v>
      </c>
      <c r="FB26" s="704">
        <v>937.145083</v>
      </c>
      <c r="FC26" s="704">
        <v>391.982846</v>
      </c>
      <c r="FD26" s="704">
        <v>100.220382</v>
      </c>
      <c r="FE26" s="703">
        <v>164.7289696398808</v>
      </c>
      <c r="FF26" s="704">
        <v>251.85733397986132</v>
      </c>
      <c r="FG26" s="704">
        <v>176.13430832204105</v>
      </c>
      <c r="FH26" s="173">
        <v>65.544318272728773</v>
      </c>
      <c r="FI26" s="703">
        <v>470.03151944013507</v>
      </c>
      <c r="FJ26" s="704">
        <v>919.02253568835044</v>
      </c>
      <c r="FK26" s="746">
        <v>521.78368211081124</v>
      </c>
      <c r="FL26" s="747">
        <v>149.49677263649195</v>
      </c>
      <c r="FM26" s="1137">
        <v>185.98618261963301</v>
      </c>
      <c r="FN26" s="1138">
        <v>358.50436194792599</v>
      </c>
      <c r="FO26" s="1138">
        <v>253.654963112855</v>
      </c>
      <c r="FP26" s="1139">
        <v>58.622236012389898</v>
      </c>
      <c r="FQ26" s="1137">
        <v>498.60669927227502</v>
      </c>
      <c r="FR26" s="1138">
        <v>1137.06485839845</v>
      </c>
      <c r="FS26" s="1138">
        <v>511.11185345062898</v>
      </c>
      <c r="FT26" s="1139">
        <v>123.458533037021</v>
      </c>
      <c r="FV26" s="167" t="s">
        <v>548</v>
      </c>
      <c r="FW26" s="337">
        <v>299.14449200000001</v>
      </c>
      <c r="FX26" s="337">
        <v>129.79456999999999</v>
      </c>
      <c r="FY26" s="337">
        <v>95.915537999999998</v>
      </c>
      <c r="FZ26" s="173">
        <v>25.514953000000002</v>
      </c>
      <c r="GA26" s="703">
        <v>349.22435947424952</v>
      </c>
      <c r="GB26" s="704">
        <v>113.64487403314033</v>
      </c>
      <c r="GC26" s="704">
        <v>92.454439181010898</v>
      </c>
      <c r="GD26" s="173">
        <v>26.599210386047471</v>
      </c>
      <c r="GE26" s="1137">
        <v>303.69799611831297</v>
      </c>
      <c r="GF26" s="1138">
        <v>144.28130580855799</v>
      </c>
      <c r="GG26" s="1138">
        <v>132.55029020331099</v>
      </c>
      <c r="GH26" s="1139">
        <v>42.670426737009528</v>
      </c>
      <c r="GJ26" s="169" t="s">
        <v>548</v>
      </c>
      <c r="GK26" s="703">
        <v>1418.498427</v>
      </c>
      <c r="GL26" s="704">
        <v>1518.9989704807365</v>
      </c>
      <c r="GM26" s="1139">
        <v>1764.00154636707</v>
      </c>
      <c r="GO26" s="169" t="s">
        <v>548</v>
      </c>
      <c r="GP26" s="703">
        <v>1289.255529</v>
      </c>
      <c r="GQ26" s="704">
        <v>25.426300000000001</v>
      </c>
      <c r="GR26" s="173">
        <v>103.816598</v>
      </c>
      <c r="GS26" s="703">
        <v>1317.3406107450833</v>
      </c>
      <c r="GT26" s="704">
        <v>30.209615198780099</v>
      </c>
      <c r="GU26" s="173">
        <v>171.44874453687308</v>
      </c>
      <c r="GV26" s="1137">
        <v>1522.938204628</v>
      </c>
      <c r="GW26" s="1138">
        <v>61.8738702516426</v>
      </c>
      <c r="GX26" s="1139">
        <v>179.18947148742299</v>
      </c>
      <c r="GZ26" s="169" t="s">
        <v>548</v>
      </c>
      <c r="HA26" s="172">
        <v>358.75458900000001</v>
      </c>
      <c r="HB26" s="337">
        <v>1059.7438380000001</v>
      </c>
      <c r="HC26" s="173">
        <f t="shared" si="7"/>
        <v>0</v>
      </c>
      <c r="HD26" s="703">
        <v>420.4755592022459</v>
      </c>
      <c r="HE26" s="704">
        <v>1094.858853109801</v>
      </c>
      <c r="HF26" s="173">
        <f t="shared" si="8"/>
        <v>3.6645581686896094</v>
      </c>
      <c r="HG26" s="583">
        <v>414.24792203109803</v>
      </c>
      <c r="HH26" s="1138">
        <v>1341.95409296188</v>
      </c>
      <c r="HI26" s="173">
        <f t="shared" si="9"/>
        <v>7.7995313740918846</v>
      </c>
      <c r="HK26" s="169" t="s">
        <v>548</v>
      </c>
      <c r="HL26" s="704">
        <v>1289.255529</v>
      </c>
      <c r="HM26" s="704">
        <v>3911.5618250000002</v>
      </c>
      <c r="HN26" s="776">
        <f t="shared" si="10"/>
        <v>3.0339694009565115</v>
      </c>
      <c r="HO26" s="703">
        <v>1317.3406107450833</v>
      </c>
      <c r="HP26" s="704">
        <v>4440.4136023029951</v>
      </c>
      <c r="HQ26" s="776">
        <f t="shared" si="11"/>
        <v>3.3707406923343179</v>
      </c>
      <c r="HR26" s="1138">
        <v>1522.938204628</v>
      </c>
      <c r="HS26" s="1138">
        <v>4837.5162973632896</v>
      </c>
      <c r="HT26" s="784">
        <f t="shared" si="12"/>
        <v>3.1764363666646105</v>
      </c>
      <c r="HV26" s="169" t="s">
        <v>548</v>
      </c>
      <c r="HW26" s="172">
        <v>321.92713400000002</v>
      </c>
      <c r="HX26" s="337">
        <v>1482.4429560000001</v>
      </c>
      <c r="HY26" s="787">
        <f t="shared" si="13"/>
        <v>4.6049021639785108</v>
      </c>
      <c r="HZ26" s="704">
        <v>967.328395</v>
      </c>
      <c r="IA26" s="704">
        <v>2429.1188689999999</v>
      </c>
      <c r="IB26" s="787">
        <f t="shared" si="14"/>
        <v>2.5111625809350917</v>
      </c>
      <c r="IC26" s="703">
        <v>367.3898417041878</v>
      </c>
      <c r="ID26" s="704">
        <v>1763.0313002690707</v>
      </c>
      <c r="IE26" s="787">
        <f t="shared" si="15"/>
        <v>4.7988025256523423</v>
      </c>
      <c r="IF26" s="704">
        <v>946.28621087220597</v>
      </c>
      <c r="IG26" s="704">
        <v>2673.7177438652348</v>
      </c>
      <c r="IH26" s="776">
        <f t="shared" si="16"/>
        <v>2.825485263492141</v>
      </c>
      <c r="II26" s="1137">
        <v>351.29407268820501</v>
      </c>
      <c r="IJ26" s="1138">
        <v>1675.4757633638301</v>
      </c>
      <c r="IK26" s="1170">
        <f t="shared" si="17"/>
        <v>4.7694393205743539</v>
      </c>
      <c r="IL26" s="1138">
        <v>1167.44109182178</v>
      </c>
      <c r="IM26" s="1138">
        <v>3157.83749388144</v>
      </c>
      <c r="IN26" s="1171">
        <f t="shared" si="18"/>
        <v>2.7049223434080658</v>
      </c>
      <c r="IP26" s="169" t="s">
        <v>548</v>
      </c>
      <c r="IQ26" s="703">
        <v>190.15461300000001</v>
      </c>
      <c r="IR26" s="704">
        <v>321.51526799999999</v>
      </c>
      <c r="IS26" s="704">
        <v>366.10752500000001</v>
      </c>
      <c r="IT26" s="704">
        <v>232.59244799999999</v>
      </c>
      <c r="IU26" s="704">
        <v>178.88567499999999</v>
      </c>
      <c r="IV26" s="704">
        <v>3911.5618250000002</v>
      </c>
      <c r="IW26" s="703">
        <v>121.99010182063708</v>
      </c>
      <c r="IX26" s="704">
        <v>311.09172474870559</v>
      </c>
      <c r="IY26" s="704">
        <v>329.12212818208451</v>
      </c>
      <c r="IZ26" s="704">
        <v>276.27731516185611</v>
      </c>
      <c r="JA26" s="704">
        <v>278.85934083180007</v>
      </c>
      <c r="JB26" s="173">
        <v>4440.4136023029951</v>
      </c>
      <c r="JC26" s="1137">
        <v>179.11191272776699</v>
      </c>
      <c r="JD26" s="1138">
        <v>364.870374962727</v>
      </c>
      <c r="JE26" s="1138">
        <v>432.25720619508098</v>
      </c>
      <c r="JF26" s="1138">
        <v>283.70344778210301</v>
      </c>
      <c r="JG26" s="1138">
        <v>262.99526296032298</v>
      </c>
      <c r="JH26" s="1139">
        <v>4837.5162973632896</v>
      </c>
      <c r="JJ26" s="169" t="s">
        <v>548</v>
      </c>
      <c r="JK26" s="172">
        <v>420.22892899999999</v>
      </c>
      <c r="JL26" s="337">
        <v>613.72458099999994</v>
      </c>
      <c r="JM26" s="337">
        <v>233.45580699999999</v>
      </c>
      <c r="JN26" s="173">
        <v>21.846212000000001</v>
      </c>
      <c r="JO26" s="703">
        <v>603.20037471553997</v>
      </c>
      <c r="JP26" s="704">
        <v>624.52881537278324</v>
      </c>
      <c r="JQ26" s="704">
        <v>53.109287123213797</v>
      </c>
      <c r="JR26" s="173">
        <v>36.502133533546342</v>
      </c>
      <c r="JS26" s="1137">
        <v>594.50534044086396</v>
      </c>
      <c r="JT26" s="1138">
        <v>693.85414877995402</v>
      </c>
      <c r="JU26" s="1138">
        <v>211.35298991330001</v>
      </c>
      <c r="JV26" s="1139">
        <v>23.225725493882699</v>
      </c>
      <c r="JX26" s="169" t="s">
        <v>548</v>
      </c>
      <c r="JY26" s="703">
        <v>340.15745837115901</v>
      </c>
      <c r="JZ26" s="704">
        <v>528.73088496743105</v>
      </c>
      <c r="KA26" s="704">
        <v>246.361945023988</v>
      </c>
      <c r="KB26" s="173">
        <v>407.68791626542298</v>
      </c>
      <c r="KC26" s="603"/>
      <c r="KD26" s="169" t="s">
        <v>548</v>
      </c>
      <c r="KE26" s="703">
        <v>44.7266109476151</v>
      </c>
      <c r="KF26" s="704">
        <v>29.1905226224393</v>
      </c>
      <c r="KG26" s="704">
        <v>242.69716559451899</v>
      </c>
      <c r="KH26" s="704">
        <v>352.02802633060497</v>
      </c>
      <c r="KI26" s="704">
        <v>308.935331287091</v>
      </c>
      <c r="KJ26" s="173">
        <v>138.991089598516</v>
      </c>
      <c r="KK26" s="703">
        <v>78.196095714099101</v>
      </c>
      <c r="KL26" s="704">
        <v>118.05317869621101</v>
      </c>
      <c r="KM26" s="704">
        <v>64.459294246060196</v>
      </c>
      <c r="KN26" s="704">
        <v>20.4141752681466</v>
      </c>
      <c r="KO26" s="704">
        <v>30.586103439657698</v>
      </c>
      <c r="KP26" s="173">
        <v>33.226182143906101</v>
      </c>
      <c r="KQ26" s="703">
        <v>122.922706661714</v>
      </c>
      <c r="KR26" s="704">
        <v>147.24370131865101</v>
      </c>
      <c r="KS26" s="704">
        <v>307.15645984057898</v>
      </c>
      <c r="KT26" s="704">
        <v>376.64524171676999</v>
      </c>
      <c r="KU26" s="704">
        <v>339.52143472674902</v>
      </c>
      <c r="KV26" s="173">
        <v>172.21727174242201</v>
      </c>
      <c r="KW26" s="429"/>
      <c r="KX26" s="169" t="s">
        <v>548</v>
      </c>
      <c r="KY26" s="172">
        <f t="shared" si="19"/>
        <v>271.94022400000006</v>
      </c>
      <c r="KZ26" s="337">
        <v>826.05651799999998</v>
      </c>
      <c r="LA26" s="173">
        <v>191.25878700000001</v>
      </c>
      <c r="LB26" s="172">
        <f t="shared" si="3"/>
        <v>284.51760037307258</v>
      </c>
      <c r="LC26" s="704">
        <v>737.35015059646173</v>
      </c>
      <c r="LD26" s="173">
        <v>295.47285977554884</v>
      </c>
      <c r="LE26" s="172">
        <f t="shared" si="4"/>
        <v>356.25095948206285</v>
      </c>
      <c r="LF26" s="1138">
        <v>899.38990560148704</v>
      </c>
      <c r="LG26" s="1139">
        <v>267.29733954444998</v>
      </c>
      <c r="LH26" s="426"/>
      <c r="LI26" s="169" t="s">
        <v>548</v>
      </c>
      <c r="LJ26" s="703">
        <v>1232.783308</v>
      </c>
      <c r="LK26" s="704">
        <v>1117.6421009999999</v>
      </c>
      <c r="LL26" s="704">
        <v>115.14120699999999</v>
      </c>
      <c r="LM26" s="704">
        <v>217.013634</v>
      </c>
      <c r="LN26" s="704">
        <v>80.242742000000007</v>
      </c>
      <c r="LO26" s="173">
        <v>71.507605999999996</v>
      </c>
      <c r="LP26" s="703">
        <v>1180.1971896978723</v>
      </c>
      <c r="LQ26" s="704">
        <v>1025.7091680573444</v>
      </c>
      <c r="LR26" s="704">
        <v>154.48802164052813</v>
      </c>
      <c r="LS26" s="704">
        <v>337.84200778315949</v>
      </c>
      <c r="LT26" s="704">
        <v>80.882095177245787</v>
      </c>
      <c r="LU26" s="173">
        <v>42.146224422991644</v>
      </c>
      <c r="LV26" s="1137">
        <v>1465.03963912329</v>
      </c>
      <c r="LW26" s="1138">
        <v>1291.4999313850701</v>
      </c>
      <c r="LX26" s="1138">
        <v>173.53970773821899</v>
      </c>
      <c r="LY26" s="1138">
        <v>296.11487293297199</v>
      </c>
      <c r="LZ26" s="1138">
        <v>57.987409080682298</v>
      </c>
      <c r="MA26" s="1139">
        <v>40.190197725659097</v>
      </c>
      <c r="MC26" s="169" t="s">
        <v>548</v>
      </c>
      <c r="MD26" s="703">
        <v>0.93072900000000003</v>
      </c>
      <c r="ME26" s="704">
        <v>28.047699999999999</v>
      </c>
      <c r="MF26" s="704">
        <v>207.95065700000001</v>
      </c>
      <c r="MG26" s="704">
        <v>388.78680400000002</v>
      </c>
      <c r="MH26" s="704">
        <v>342.20498300000003</v>
      </c>
      <c r="MI26" s="173">
        <v>152.72122400000001</v>
      </c>
      <c r="MJ26" s="703">
        <v>0</v>
      </c>
      <c r="MK26" s="704">
        <v>40.924640607437048</v>
      </c>
      <c r="ML26" s="704">
        <v>283.13090444307068</v>
      </c>
      <c r="MM26" s="704">
        <v>384.59979163999009</v>
      </c>
      <c r="MN26" s="704">
        <v>233.3991124021932</v>
      </c>
      <c r="MO26" s="173">
        <v>83.654718964653455</v>
      </c>
      <c r="MP26" s="1137">
        <v>0</v>
      </c>
      <c r="MQ26" s="1138">
        <v>75.208341082420503</v>
      </c>
      <c r="MR26" s="1138">
        <v>300.91247461120099</v>
      </c>
      <c r="MS26" s="1138">
        <v>437.20646856494699</v>
      </c>
      <c r="MT26" s="1138">
        <v>323.11480228049197</v>
      </c>
      <c r="MU26" s="1139">
        <v>155.057844846009</v>
      </c>
      <c r="MW26" s="169" t="s">
        <v>548</v>
      </c>
      <c r="MX26" s="172">
        <v>1121.980914</v>
      </c>
      <c r="MY26" s="337">
        <v>1014.304247</v>
      </c>
      <c r="MZ26" s="337">
        <v>107.67666699999999</v>
      </c>
      <c r="NA26" s="703">
        <v>1036.7004722087263</v>
      </c>
      <c r="NB26" s="704">
        <v>903.06182862758317</v>
      </c>
      <c r="NC26" s="173">
        <v>133.63864358114307</v>
      </c>
      <c r="ND26" s="1137">
        <v>1316.88310864649</v>
      </c>
      <c r="NE26" s="1138">
        <v>1163.2982699812601</v>
      </c>
      <c r="NF26" s="1139">
        <v>153.58483866522599</v>
      </c>
      <c r="NH26" s="169" t="s">
        <v>548</v>
      </c>
      <c r="NI26" s="703">
        <v>721.62481730309378</v>
      </c>
      <c r="NJ26" s="173">
        <v>181.4370113244895</v>
      </c>
      <c r="NK26" s="703">
        <v>70.808496840102165</v>
      </c>
      <c r="NL26" s="704">
        <v>62.830146741040899</v>
      </c>
      <c r="NM26" s="173">
        <v>0</v>
      </c>
      <c r="NN26" s="1137">
        <v>902.78300086409502</v>
      </c>
      <c r="NO26" s="1139">
        <v>260.51526911716769</v>
      </c>
      <c r="NP26" s="1137">
        <v>92.138011682938398</v>
      </c>
      <c r="NQ26" s="1138">
        <v>61.446826982287902</v>
      </c>
      <c r="NR26" s="1139">
        <v>0</v>
      </c>
      <c r="NS26" s="136"/>
      <c r="NT26" s="169" t="s">
        <v>548</v>
      </c>
      <c r="NU26" s="703">
        <v>94.267547698577076</v>
      </c>
      <c r="NV26" s="704">
        <v>24.206877996130508</v>
      </c>
      <c r="NW26" s="704">
        <v>10.951814204629249</v>
      </c>
      <c r="NX26" s="173">
        <v>52.01077142515269</v>
      </c>
      <c r="NY26" s="1137">
        <v>161.21710859899699</v>
      </c>
      <c r="NZ26" s="1138">
        <v>22.2195684706078</v>
      </c>
      <c r="OA26" s="1138">
        <v>0</v>
      </c>
      <c r="OB26" s="1139">
        <v>77.078592047562907</v>
      </c>
      <c r="OC26" s="553"/>
      <c r="OD26" s="169" t="s">
        <v>548</v>
      </c>
      <c r="OE26" s="703">
        <v>59.0782383301922</v>
      </c>
      <c r="OF26" s="704">
        <v>127.226472792575</v>
      </c>
      <c r="OG26" s="704">
        <v>98.701965857385602</v>
      </c>
      <c r="OH26" s="704">
        <v>103.715794211958</v>
      </c>
      <c r="OI26" s="704">
        <v>260.37983452814399</v>
      </c>
      <c r="OJ26" s="704">
        <v>47.000564472208303</v>
      </c>
      <c r="OK26" s="173">
        <v>16.347521535913199</v>
      </c>
      <c r="OL26" s="703">
        <v>95.162372392398694</v>
      </c>
      <c r="OM26" s="704">
        <v>132.958136862304</v>
      </c>
      <c r="ON26" s="704">
        <v>98.701965857385602</v>
      </c>
      <c r="OO26" s="704">
        <v>103.715794211958</v>
      </c>
      <c r="OP26" s="704">
        <v>394.89090506031698</v>
      </c>
      <c r="OQ26" s="704">
        <v>260.39557950534402</v>
      </c>
      <c r="OR26" s="173">
        <v>1511.23966538075</v>
      </c>
      <c r="OT26" s="169" t="s">
        <v>548</v>
      </c>
      <c r="OU26" s="172">
        <v>373.77691500000003</v>
      </c>
      <c r="OV26" s="337">
        <v>318.73691400000001</v>
      </c>
      <c r="OW26" s="337">
        <v>218.34433200000001</v>
      </c>
      <c r="OX26" s="173">
        <v>691.522425</v>
      </c>
      <c r="OY26" s="703">
        <v>284.5485181635699</v>
      </c>
      <c r="OZ26" s="704">
        <v>220.1710424644069</v>
      </c>
      <c r="PA26" s="704">
        <v>291.26722797913766</v>
      </c>
      <c r="PB26" s="173">
        <v>838.49737030044992</v>
      </c>
      <c r="PC26" s="1137">
        <v>215.82327794422048</v>
      </c>
      <c r="PD26" s="1138">
        <v>302.95379915552797</v>
      </c>
      <c r="PE26" s="1138">
        <v>320.34820019724202</v>
      </c>
      <c r="PF26" s="1139">
        <v>1003.6729521131581</v>
      </c>
      <c r="PH26" s="169" t="s">
        <v>548</v>
      </c>
      <c r="PI26" s="703">
        <v>93.141818628326206</v>
      </c>
      <c r="PJ26" s="704">
        <v>167.91910365045501</v>
      </c>
      <c r="PK26" s="704">
        <v>134.56986779380199</v>
      </c>
      <c r="PL26" s="173">
        <v>423.00659873032248</v>
      </c>
      <c r="PM26" s="703">
        <v>122.6814593158939</v>
      </c>
      <c r="PN26" s="704">
        <v>135.03469550507299</v>
      </c>
      <c r="PO26" s="704">
        <v>185.77833240343901</v>
      </c>
      <c r="PP26" s="173">
        <v>580.66635338283595</v>
      </c>
      <c r="PQ26" s="65"/>
      <c r="PR26" s="169" t="s">
        <v>548</v>
      </c>
      <c r="PS26" s="1038">
        <v>21.7464574273714</v>
      </c>
      <c r="PT26" s="1039">
        <v>162.317059794644</v>
      </c>
      <c r="PU26" s="1039">
        <v>166.076532317356</v>
      </c>
      <c r="PV26" s="1039">
        <v>10.1672970488984</v>
      </c>
      <c r="PW26" s="1039">
        <v>732.62681544167503</v>
      </c>
      <c r="PX26" s="1040">
        <v>223.94894661654399</v>
      </c>
      <c r="PZ26" s="169" t="s">
        <v>548</v>
      </c>
      <c r="QA26" s="1038">
        <v>832.96703727630802</v>
      </c>
      <c r="QB26" s="1039">
        <v>483.91607137018002</v>
      </c>
      <c r="QC26" s="1039">
        <v>377.15087233613798</v>
      </c>
      <c r="QD26" s="1039">
        <v>36.755166831566598</v>
      </c>
      <c r="QE26" s="1039">
        <v>70.010032202475699</v>
      </c>
      <c r="QF26" s="1040">
        <v>0</v>
      </c>
    </row>
    <row r="27" spans="1:448" ht="13.5" customHeight="1">
      <c r="A27" s="591" t="s">
        <v>492</v>
      </c>
      <c r="B27" s="167" t="s">
        <v>549</v>
      </c>
      <c r="C27" s="1103">
        <v>2430.9680990000002</v>
      </c>
      <c r="D27" s="690">
        <v>2169.0754633953275</v>
      </c>
      <c r="E27" s="691">
        <v>2174.3723094575298</v>
      </c>
      <c r="F27" s="428"/>
      <c r="G27" s="169" t="s">
        <v>549</v>
      </c>
      <c r="H27" s="577">
        <f t="shared" si="5"/>
        <v>-2.2539805730538598E-2</v>
      </c>
      <c r="I27" s="668">
        <f t="shared" si="6"/>
        <v>4.8792029558164529E-4</v>
      </c>
      <c r="J27" s="612"/>
      <c r="K27" s="63"/>
      <c r="L27" s="167" t="s">
        <v>549</v>
      </c>
      <c r="M27" s="636">
        <v>20</v>
      </c>
      <c r="N27" s="637">
        <v>25</v>
      </c>
      <c r="O27" s="637">
        <v>28</v>
      </c>
      <c r="P27" s="637">
        <v>29</v>
      </c>
      <c r="Q27" s="637">
        <v>24</v>
      </c>
      <c r="R27" s="637">
        <v>32</v>
      </c>
      <c r="S27" s="637">
        <v>34</v>
      </c>
      <c r="T27" s="637">
        <v>37</v>
      </c>
      <c r="U27" s="1138">
        <v>38</v>
      </c>
      <c r="V27" s="1138">
        <v>34</v>
      </c>
      <c r="W27" s="1139">
        <v>43</v>
      </c>
      <c r="X27" s="169" t="s">
        <v>549</v>
      </c>
      <c r="Y27" s="666">
        <v>22.5</v>
      </c>
      <c r="Z27" s="667">
        <v>28.5</v>
      </c>
      <c r="AA27" s="667">
        <v>28</v>
      </c>
      <c r="AB27" s="667">
        <v>35.5</v>
      </c>
      <c r="AC27" s="667">
        <v>35.5</v>
      </c>
      <c r="AD27" s="668">
        <v>0.26666666666666666</v>
      </c>
      <c r="AE27" s="668">
        <v>-1.7543859649122806E-2</v>
      </c>
      <c r="AF27" s="668">
        <v>0.26785714285714285</v>
      </c>
      <c r="AG27" s="1213">
        <v>-1.7543859649122806E-2</v>
      </c>
      <c r="AN27" s="169" t="s">
        <v>549</v>
      </c>
      <c r="AO27" s="636">
        <v>0</v>
      </c>
      <c r="AP27" s="637">
        <v>52.370584000000001</v>
      </c>
      <c r="AQ27" s="637">
        <v>161.782926</v>
      </c>
      <c r="AR27" s="637">
        <v>410.42323299999998</v>
      </c>
      <c r="AS27" s="637">
        <v>341.92566599999998</v>
      </c>
      <c r="AT27" s="637">
        <v>146.511923</v>
      </c>
      <c r="AU27" s="637">
        <v>646.66995099999997</v>
      </c>
      <c r="AV27" s="173">
        <v>367.40435600000001</v>
      </c>
      <c r="AW27" s="636">
        <v>0</v>
      </c>
      <c r="AX27" s="637">
        <v>49.941067363305088</v>
      </c>
      <c r="AY27" s="637">
        <v>195.78251121703141</v>
      </c>
      <c r="AZ27" s="637">
        <v>437.74153526388807</v>
      </c>
      <c r="BA27" s="637">
        <v>267.80753008525284</v>
      </c>
      <c r="BB27" s="637">
        <v>123.20853885239804</v>
      </c>
      <c r="BC27" s="637">
        <v>578.51645888936298</v>
      </c>
      <c r="BD27" s="173">
        <v>244.03693399776199</v>
      </c>
      <c r="BE27" s="1137">
        <v>0</v>
      </c>
      <c r="BF27" s="1138">
        <v>58.966233637585503</v>
      </c>
      <c r="BG27" s="1138">
        <v>245.91668661365301</v>
      </c>
      <c r="BH27" s="1138">
        <v>393.84708688740199</v>
      </c>
      <c r="BI27" s="1138">
        <v>230.63050342236099</v>
      </c>
      <c r="BJ27" s="1138">
        <v>109.06305675927599</v>
      </c>
      <c r="BK27" s="1138">
        <v>504.71841659901997</v>
      </c>
      <c r="BL27" s="1139">
        <v>334.09837943117401</v>
      </c>
      <c r="BN27" s="169" t="s">
        <v>549</v>
      </c>
      <c r="BO27" s="647">
        <v>303.87946199999999</v>
      </c>
      <c r="BP27" s="648">
        <v>646.66889400000002</v>
      </c>
      <c r="BQ27" s="648">
        <v>417.253086</v>
      </c>
      <c r="BR27" s="648">
        <v>388.20597800000002</v>
      </c>
      <c r="BS27" s="648">
        <v>308.47271999999998</v>
      </c>
      <c r="BT27" s="173">
        <v>366.48795899999999</v>
      </c>
      <c r="BU27" s="647">
        <v>271.04088850784001</v>
      </c>
      <c r="BV27" s="648">
        <v>477.75526100802591</v>
      </c>
      <c r="BW27" s="648">
        <v>423.22431929349108</v>
      </c>
      <c r="BX27" s="648">
        <v>366.83525297966793</v>
      </c>
      <c r="BY27" s="648">
        <v>310.10452846788689</v>
      </c>
      <c r="BZ27" s="173">
        <v>320.11521313841587</v>
      </c>
      <c r="CA27" s="1137">
        <v>290.13193899936402</v>
      </c>
      <c r="CB27" s="1138">
        <v>555.32391682880098</v>
      </c>
      <c r="CC27" s="1138">
        <v>392.91771303579299</v>
      </c>
      <c r="CD27" s="1138">
        <v>395.90870495475002</v>
      </c>
      <c r="CE27" s="1138">
        <v>318.28163538499302</v>
      </c>
      <c r="CF27" s="1139">
        <v>221.80840025382901</v>
      </c>
      <c r="CG27" s="429"/>
      <c r="CH27" s="169" t="s">
        <v>549</v>
      </c>
      <c r="CI27" s="172">
        <v>499.17658899999998</v>
      </c>
      <c r="CJ27" s="337">
        <v>1380.6253429999999</v>
      </c>
      <c r="CK27" s="337">
        <v>551.16616699999997</v>
      </c>
      <c r="CL27" s="647">
        <v>373.90111571347552</v>
      </c>
      <c r="CM27" s="648">
        <v>1321.1155219723471</v>
      </c>
      <c r="CN27" s="648">
        <v>474.05882570950496</v>
      </c>
      <c r="CO27" s="1137">
        <v>464.51266890301901</v>
      </c>
      <c r="CP27" s="1138">
        <v>1276.9649116755099</v>
      </c>
      <c r="CQ27" s="1139">
        <v>432.89472887899802</v>
      </c>
      <c r="CR27" s="433"/>
      <c r="CS27" s="132"/>
      <c r="CT27" s="141"/>
      <c r="CU27" s="141"/>
      <c r="CV27" s="141"/>
      <c r="CW27" s="141"/>
      <c r="CX27" s="141"/>
      <c r="CZ27" s="141"/>
      <c r="DA27" s="426"/>
      <c r="DB27" s="426"/>
      <c r="DC27" s="426"/>
      <c r="DD27" s="426"/>
      <c r="DE27" s="426"/>
      <c r="DG27" s="169" t="s">
        <v>549</v>
      </c>
      <c r="DH27" s="1147" t="s">
        <v>743</v>
      </c>
      <c r="DI27" s="1150" t="s">
        <v>860</v>
      </c>
      <c r="DJ27" s="704" t="s">
        <v>861</v>
      </c>
      <c r="DK27" s="704" t="s">
        <v>862</v>
      </c>
      <c r="DL27" s="337" t="s">
        <v>863</v>
      </c>
      <c r="DM27" s="174" t="s">
        <v>864</v>
      </c>
      <c r="DN27" s="451"/>
      <c r="DO27" s="167" t="s">
        <v>549</v>
      </c>
      <c r="DP27" s="704">
        <v>1331.7459240000001</v>
      </c>
      <c r="DQ27" s="337">
        <v>1200.0802918288571</v>
      </c>
      <c r="DR27" s="1139">
        <v>1247.7678764503501</v>
      </c>
      <c r="DS27" s="63"/>
      <c r="DT27" s="169" t="s">
        <v>549</v>
      </c>
      <c r="DU27" s="172">
        <v>2370.9681730000002</v>
      </c>
      <c r="DV27" s="337">
        <v>2147.0754805886081</v>
      </c>
      <c r="DW27" s="1139">
        <v>2154.3722891498301</v>
      </c>
      <c r="DX27" s="63"/>
      <c r="DY27" s="169" t="s">
        <v>549</v>
      </c>
      <c r="DZ27" s="1089">
        <f t="shared" si="0"/>
        <v>1.7803457328246346</v>
      </c>
      <c r="EA27" s="787">
        <f t="shared" si="1"/>
        <v>1.7891098580717311</v>
      </c>
      <c r="EB27" s="776">
        <f t="shared" si="2"/>
        <v>1.726580984981428</v>
      </c>
      <c r="EC27" s="55"/>
      <c r="ED27" s="541"/>
      <c r="EE27" s="169" t="s">
        <v>549</v>
      </c>
      <c r="EF27" s="735">
        <v>693.44408599999997</v>
      </c>
      <c r="EG27" s="736">
        <v>48.550696000000002</v>
      </c>
      <c r="EH27" s="736">
        <v>325.78138799999999</v>
      </c>
      <c r="EI27" s="736">
        <v>168.40481500000001</v>
      </c>
      <c r="EJ27" s="736">
        <v>95.564938999999995</v>
      </c>
      <c r="EK27" s="703">
        <v>607.39684919874094</v>
      </c>
      <c r="EL27" s="704">
        <v>32.718999350852847</v>
      </c>
      <c r="EM27" s="704">
        <v>308.88300817688162</v>
      </c>
      <c r="EN27" s="704">
        <v>173.53530968003403</v>
      </c>
      <c r="EO27" s="704">
        <v>77.546125422347728</v>
      </c>
      <c r="EP27" s="1137">
        <v>674.297185910434</v>
      </c>
      <c r="EQ27" s="1138">
        <v>38.8170580635203</v>
      </c>
      <c r="ER27" s="1138">
        <v>285.81059438555502</v>
      </c>
      <c r="ES27" s="1138">
        <v>159.82161586247301</v>
      </c>
      <c r="ET27" s="1139">
        <v>89.021422228364102</v>
      </c>
      <c r="EV27" s="169" t="s">
        <v>549</v>
      </c>
      <c r="EW27" s="703">
        <v>159.840157</v>
      </c>
      <c r="EX27" s="704">
        <v>217.168893</v>
      </c>
      <c r="EY27" s="704">
        <v>199.33013399999999</v>
      </c>
      <c r="EZ27" s="704">
        <v>117.104901</v>
      </c>
      <c r="FA27" s="703">
        <v>468.71466700000002</v>
      </c>
      <c r="FB27" s="704">
        <v>798.58812799999998</v>
      </c>
      <c r="FC27" s="704">
        <v>577.48269100000005</v>
      </c>
      <c r="FD27" s="704">
        <v>230.303214</v>
      </c>
      <c r="FE27" s="703">
        <v>95.517439066468313</v>
      </c>
      <c r="FF27" s="704">
        <v>228.13430838691846</v>
      </c>
      <c r="FG27" s="704">
        <v>169.45308864382025</v>
      </c>
      <c r="FH27" s="173">
        <v>114.29201310153393</v>
      </c>
      <c r="FI27" s="703">
        <v>322.69859869418809</v>
      </c>
      <c r="FJ27" s="704">
        <v>796.36944691556937</v>
      </c>
      <c r="FK27" s="746">
        <v>531.26609042753171</v>
      </c>
      <c r="FL27" s="747">
        <v>232.70045057288951</v>
      </c>
      <c r="FM27" s="1137">
        <v>142.22214113406699</v>
      </c>
      <c r="FN27" s="1138">
        <v>230.03354666035301</v>
      </c>
      <c r="FO27" s="1138">
        <v>186.04993066778701</v>
      </c>
      <c r="FP27" s="1139">
        <v>115.991567448227</v>
      </c>
      <c r="FQ27" s="1137">
        <v>382.93960085533899</v>
      </c>
      <c r="FR27" s="1138">
        <v>827.26029725714</v>
      </c>
      <c r="FS27" s="1138">
        <v>494.06247874962997</v>
      </c>
      <c r="FT27" s="1139">
        <v>172.977986488363</v>
      </c>
      <c r="FV27" s="167" t="s">
        <v>549</v>
      </c>
      <c r="FW27" s="337">
        <v>344.16998699999999</v>
      </c>
      <c r="FX27" s="337">
        <v>117.421297</v>
      </c>
      <c r="FY27" s="337">
        <v>89.173512000000002</v>
      </c>
      <c r="FZ27" s="173">
        <v>42.674306999999999</v>
      </c>
      <c r="GA27" s="703">
        <v>330.4211350961902</v>
      </c>
      <c r="GB27" s="704">
        <v>110.42868923791548</v>
      </c>
      <c r="GC27" s="704">
        <v>83.509380133823555</v>
      </c>
      <c r="GD27" s="173">
        <v>35.60523881133409</v>
      </c>
      <c r="GE27" s="1137">
        <v>296.95797715100798</v>
      </c>
      <c r="GF27" s="1138">
        <v>120.239152296398</v>
      </c>
      <c r="GG27" s="1138">
        <v>92.908245799352798</v>
      </c>
      <c r="GH27" s="1139">
        <v>24.548257229633581</v>
      </c>
      <c r="GJ27" s="169" t="s">
        <v>549</v>
      </c>
      <c r="GK27" s="703">
        <v>1426.9983749999999</v>
      </c>
      <c r="GL27" s="704">
        <v>1386.9990621212407</v>
      </c>
      <c r="GM27" s="1139">
        <v>1405.00126696352</v>
      </c>
      <c r="GO27" s="169" t="s">
        <v>549</v>
      </c>
      <c r="GP27" s="703">
        <v>1331.7459240000001</v>
      </c>
      <c r="GQ27" s="704">
        <v>11.449700999999999</v>
      </c>
      <c r="GR27" s="173">
        <v>83.802750000000003</v>
      </c>
      <c r="GS27" s="703">
        <v>1200.0802918288571</v>
      </c>
      <c r="GT27" s="704">
        <v>33.572583616304492</v>
      </c>
      <c r="GU27" s="173">
        <v>153.3461866760791</v>
      </c>
      <c r="GV27" s="1137">
        <v>1247.7678764503501</v>
      </c>
      <c r="GW27" s="1138">
        <v>50.550105575718199</v>
      </c>
      <c r="GX27" s="1139">
        <v>106.683284937457</v>
      </c>
      <c r="GZ27" s="169" t="s">
        <v>549</v>
      </c>
      <c r="HA27" s="172">
        <v>488.22225600000002</v>
      </c>
      <c r="HB27" s="337">
        <v>935.08815800000002</v>
      </c>
      <c r="HC27" s="173">
        <f t="shared" si="7"/>
        <v>3.6879609999998593</v>
      </c>
      <c r="HD27" s="703">
        <v>532.6003743009237</v>
      </c>
      <c r="HE27" s="704">
        <v>847.37823241284411</v>
      </c>
      <c r="HF27" s="173">
        <f t="shared" si="8"/>
        <v>7.0204554074728094</v>
      </c>
      <c r="HG27" s="583">
        <v>493.56592240185199</v>
      </c>
      <c r="HH27" s="1138">
        <v>911.43534456167004</v>
      </c>
      <c r="HI27" s="173">
        <f t="shared" si="9"/>
        <v>-2.0463630789890885E-12</v>
      </c>
      <c r="HK27" s="169" t="s">
        <v>549</v>
      </c>
      <c r="HL27" s="704">
        <v>1331.7459240000001</v>
      </c>
      <c r="HM27" s="704">
        <v>4624.9022260000002</v>
      </c>
      <c r="HN27" s="776">
        <f t="shared" si="10"/>
        <v>3.4728112492424645</v>
      </c>
      <c r="HO27" s="703">
        <v>1200.0802918288571</v>
      </c>
      <c r="HP27" s="704">
        <v>4349.8707818951816</v>
      </c>
      <c r="HQ27" s="776">
        <f t="shared" si="11"/>
        <v>3.6246497934452497</v>
      </c>
      <c r="HR27" s="1138">
        <v>1247.7678764503501</v>
      </c>
      <c r="HS27" s="1138">
        <v>4226.7799972714502</v>
      </c>
      <c r="HT27" s="784">
        <f t="shared" si="12"/>
        <v>3.3874730044307548</v>
      </c>
      <c r="HV27" s="169" t="s">
        <v>549</v>
      </c>
      <c r="HW27" s="172">
        <v>470.09533299999998</v>
      </c>
      <c r="HX27" s="337">
        <v>2174.0754579999998</v>
      </c>
      <c r="HY27" s="787">
        <f t="shared" si="13"/>
        <v>4.6247543963598545</v>
      </c>
      <c r="HZ27" s="704">
        <v>857.96262899999999</v>
      </c>
      <c r="IA27" s="704">
        <v>2447.1388059999999</v>
      </c>
      <c r="IB27" s="787">
        <f t="shared" si="14"/>
        <v>2.852267363733858</v>
      </c>
      <c r="IC27" s="703">
        <v>489.27358161324628</v>
      </c>
      <c r="ID27" s="704">
        <v>2226.3927400840016</v>
      </c>
      <c r="IE27" s="787">
        <f t="shared" si="15"/>
        <v>4.5504045665884485</v>
      </c>
      <c r="IF27" s="704">
        <v>703.78625480813798</v>
      </c>
      <c r="IG27" s="704">
        <v>2102.4166755887609</v>
      </c>
      <c r="IH27" s="776">
        <f t="shared" si="16"/>
        <v>2.987294311625778</v>
      </c>
      <c r="II27" s="1137">
        <v>456.789195469454</v>
      </c>
      <c r="IJ27" s="1138">
        <v>1967.18925977668</v>
      </c>
      <c r="IK27" s="1170">
        <f t="shared" si="17"/>
        <v>4.3065582095367843</v>
      </c>
      <c r="IL27" s="1138">
        <v>790.97868098089305</v>
      </c>
      <c r="IM27" s="1138">
        <v>2259.5907374947701</v>
      </c>
      <c r="IN27" s="1171">
        <f t="shared" si="18"/>
        <v>2.8567024520719704</v>
      </c>
      <c r="IP27" s="169" t="s">
        <v>549</v>
      </c>
      <c r="IQ27" s="703">
        <v>110.991381</v>
      </c>
      <c r="IR27" s="704">
        <v>270.55300599999998</v>
      </c>
      <c r="IS27" s="704">
        <v>337.23883599999999</v>
      </c>
      <c r="IT27" s="704">
        <v>329.31832200000002</v>
      </c>
      <c r="IU27" s="704">
        <v>283.64437900000001</v>
      </c>
      <c r="IV27" s="704">
        <v>4624.9022260000002</v>
      </c>
      <c r="IW27" s="703">
        <v>54.857192558735193</v>
      </c>
      <c r="IX27" s="704">
        <v>273.2422352861318</v>
      </c>
      <c r="IY27" s="704">
        <v>194.37377351516523</v>
      </c>
      <c r="IZ27" s="704">
        <v>396.5888492142663</v>
      </c>
      <c r="JA27" s="704">
        <v>281.01824125455863</v>
      </c>
      <c r="JB27" s="173">
        <v>4349.8707818951816</v>
      </c>
      <c r="JC27" s="1137">
        <v>72.168439098132097</v>
      </c>
      <c r="JD27" s="1138">
        <v>294.49086649032898</v>
      </c>
      <c r="JE27" s="1138">
        <v>330.28547011590001</v>
      </c>
      <c r="JF27" s="1138">
        <v>278.451379518561</v>
      </c>
      <c r="JG27" s="1138">
        <v>272.37172122742498</v>
      </c>
      <c r="JH27" s="1139">
        <v>4226.7799972714502</v>
      </c>
      <c r="JJ27" s="169" t="s">
        <v>549</v>
      </c>
      <c r="JK27" s="172">
        <v>813.30360199999996</v>
      </c>
      <c r="JL27" s="337">
        <v>495.33299499999998</v>
      </c>
      <c r="JM27" s="337">
        <v>0</v>
      </c>
      <c r="JN27" s="173">
        <v>23.109327</v>
      </c>
      <c r="JO27" s="703">
        <v>804.67775026583934</v>
      </c>
      <c r="JP27" s="704">
        <v>372.06759795985255</v>
      </c>
      <c r="JQ27" s="704">
        <v>0</v>
      </c>
      <c r="JR27" s="173">
        <v>23.334943603165261</v>
      </c>
      <c r="JS27" s="1137">
        <v>763.83436064223099</v>
      </c>
      <c r="JT27" s="1138">
        <v>450.41621817167334</v>
      </c>
      <c r="JU27" s="1138">
        <v>3.3860849840686602</v>
      </c>
      <c r="JV27" s="1139">
        <v>30.1312126523739</v>
      </c>
      <c r="JX27" s="169" t="s">
        <v>549</v>
      </c>
      <c r="JY27" s="703">
        <v>249.98497353996899</v>
      </c>
      <c r="JZ27" s="704">
        <v>303.41174638797798</v>
      </c>
      <c r="KA27" s="704">
        <v>172.04569094057001</v>
      </c>
      <c r="KB27" s="173">
        <v>522.32546558183003</v>
      </c>
      <c r="KC27" s="603"/>
      <c r="KD27" s="169" t="s">
        <v>549</v>
      </c>
      <c r="KE27" s="703">
        <v>11.278965599406201</v>
      </c>
      <c r="KF27" s="704">
        <v>25.8241820480592</v>
      </c>
      <c r="KG27" s="704">
        <v>486.40375380146401</v>
      </c>
      <c r="KH27" s="704">
        <v>208.150433630474</v>
      </c>
      <c r="KI27" s="704">
        <v>37.139026639035698</v>
      </c>
      <c r="KJ27" s="173">
        <v>9.8970348627139693</v>
      </c>
      <c r="KK27" s="703">
        <v>70.823914390444102</v>
      </c>
      <c r="KL27" s="704">
        <v>156.46332773833299</v>
      </c>
      <c r="KM27" s="704">
        <v>134.16375918167799</v>
      </c>
      <c r="KN27" s="704">
        <v>49.010274633940199</v>
      </c>
      <c r="KO27" s="704">
        <v>33.563188662858302</v>
      </c>
      <c r="KP27" s="173">
        <v>12.764730862200601</v>
      </c>
      <c r="KQ27" s="703">
        <v>82.102879989850393</v>
      </c>
      <c r="KR27" s="704">
        <v>182.28750978639201</v>
      </c>
      <c r="KS27" s="704">
        <v>620.56751298314202</v>
      </c>
      <c r="KT27" s="704">
        <v>257.16070826441398</v>
      </c>
      <c r="KU27" s="704">
        <v>70.702215301894</v>
      </c>
      <c r="KV27" s="173">
        <v>22.661765724914499</v>
      </c>
      <c r="KW27" s="429"/>
      <c r="KX27" s="169" t="s">
        <v>549</v>
      </c>
      <c r="KY27" s="172">
        <f t="shared" si="19"/>
        <v>308.48033100000009</v>
      </c>
      <c r="KZ27" s="337">
        <v>810.49227099999996</v>
      </c>
      <c r="LA27" s="173">
        <v>212.77332200000001</v>
      </c>
      <c r="LB27" s="172">
        <f t="shared" si="3"/>
        <v>221.00347050459152</v>
      </c>
      <c r="LC27" s="704">
        <v>757.1776514128868</v>
      </c>
      <c r="LD27" s="173">
        <v>221.89916991137878</v>
      </c>
      <c r="LE27" s="172">
        <f t="shared" si="4"/>
        <v>319.90059466745004</v>
      </c>
      <c r="LF27" s="1138">
        <v>697.88603940793405</v>
      </c>
      <c r="LG27" s="1139">
        <v>229.981242374966</v>
      </c>
      <c r="LH27" s="426"/>
      <c r="LI27" s="169" t="s">
        <v>549</v>
      </c>
      <c r="LJ27" s="703">
        <v>1096.5134029999999</v>
      </c>
      <c r="LK27" s="704">
        <v>1012.176888</v>
      </c>
      <c r="LL27" s="704">
        <v>84.336516000000003</v>
      </c>
      <c r="LM27" s="704">
        <v>263.49460900000003</v>
      </c>
      <c r="LN27" s="704">
        <v>124.360511</v>
      </c>
      <c r="LO27" s="173">
        <v>91.553945999999996</v>
      </c>
      <c r="LP27" s="703">
        <v>1072.9303613753282</v>
      </c>
      <c r="LQ27" s="704">
        <v>956.68421072381841</v>
      </c>
      <c r="LR27" s="704">
        <v>116.24615065150959</v>
      </c>
      <c r="LS27" s="704">
        <v>174.1144429010082</v>
      </c>
      <c r="LT27" s="704">
        <v>123.4953131818291</v>
      </c>
      <c r="LU27" s="173">
        <v>53.435631719817223</v>
      </c>
      <c r="LV27" s="1137">
        <v>1039.5276007735699</v>
      </c>
      <c r="LW27" s="1138">
        <v>938.97932118129495</v>
      </c>
      <c r="LX27" s="1138">
        <v>100.54827959227801</v>
      </c>
      <c r="LY27" s="1138">
        <v>262.41040002118598</v>
      </c>
      <c r="LZ27" s="1138">
        <v>92.137364340202893</v>
      </c>
      <c r="MA27" s="1139">
        <v>57.2702764442068</v>
      </c>
      <c r="MC27" s="169" t="s">
        <v>549</v>
      </c>
      <c r="MD27" s="703">
        <v>0</v>
      </c>
      <c r="ME27" s="704">
        <v>48.682622000000002</v>
      </c>
      <c r="MF27" s="704">
        <v>154.63231400000001</v>
      </c>
      <c r="MG27" s="704">
        <v>388.91682300000002</v>
      </c>
      <c r="MH27" s="704">
        <v>304.59891599999997</v>
      </c>
      <c r="MI27" s="173">
        <v>117.34621</v>
      </c>
      <c r="MJ27" s="703">
        <v>0</v>
      </c>
      <c r="MK27" s="704">
        <v>42.729147062627831</v>
      </c>
      <c r="ML27" s="704">
        <v>184.99702824820903</v>
      </c>
      <c r="MM27" s="704">
        <v>389.20824632489348</v>
      </c>
      <c r="MN27" s="704">
        <v>236.75330016448424</v>
      </c>
      <c r="MO27" s="173">
        <v>102.99648892360401</v>
      </c>
      <c r="MP27" s="1137">
        <v>0</v>
      </c>
      <c r="MQ27" s="1138">
        <v>58.966233637585503</v>
      </c>
      <c r="MR27" s="1138">
        <v>236.054214562932</v>
      </c>
      <c r="MS27" s="1138">
        <v>364.93679480195499</v>
      </c>
      <c r="MT27" s="1138">
        <v>193.86312099487699</v>
      </c>
      <c r="MU27" s="1139">
        <v>84.158956168560906</v>
      </c>
      <c r="MW27" s="169" t="s">
        <v>549</v>
      </c>
      <c r="MX27" s="172">
        <v>1026.6778179999999</v>
      </c>
      <c r="MY27" s="337">
        <v>918.82382199999995</v>
      </c>
      <c r="MZ27" s="337">
        <v>107.853996</v>
      </c>
      <c r="NA27" s="703">
        <v>967.54900663007504</v>
      </c>
      <c r="NB27" s="704">
        <v>875.9053827435929</v>
      </c>
      <c r="NC27" s="173">
        <v>91.643623886482118</v>
      </c>
      <c r="ND27" s="1137">
        <v>952.50624584997604</v>
      </c>
      <c r="NE27" s="1138">
        <v>839.45160133748197</v>
      </c>
      <c r="NF27" s="1139">
        <v>113.05464451249399</v>
      </c>
      <c r="NH27" s="169" t="s">
        <v>549</v>
      </c>
      <c r="NI27" s="703">
        <v>730.31921477723654</v>
      </c>
      <c r="NJ27" s="173">
        <v>145.58616796635641</v>
      </c>
      <c r="NK27" s="703">
        <v>57.08584962733174</v>
      </c>
      <c r="NL27" s="704">
        <v>34.557774259150378</v>
      </c>
      <c r="NM27" s="173">
        <v>0</v>
      </c>
      <c r="NN27" s="1137">
        <v>678.11673584788798</v>
      </c>
      <c r="NO27" s="1139">
        <v>161.33486548959411</v>
      </c>
      <c r="NP27" s="1137">
        <v>73.722453668595904</v>
      </c>
      <c r="NQ27" s="1138">
        <v>39.332190843897997</v>
      </c>
      <c r="NR27" s="1139">
        <v>0</v>
      </c>
      <c r="NS27" s="136"/>
      <c r="NT27" s="169" t="s">
        <v>549</v>
      </c>
      <c r="NU27" s="703">
        <v>88.593817087326926</v>
      </c>
      <c r="NV27" s="704">
        <v>16.57015255756238</v>
      </c>
      <c r="NW27" s="704">
        <v>0</v>
      </c>
      <c r="NX27" s="173">
        <v>40.4221983214671</v>
      </c>
      <c r="NY27" s="1137">
        <v>97.285738154565806</v>
      </c>
      <c r="NZ27" s="1138">
        <v>7.7845873985435698</v>
      </c>
      <c r="OA27" s="1138">
        <v>0.99783544704374105</v>
      </c>
      <c r="OB27" s="1139">
        <v>55.266704489440997</v>
      </c>
      <c r="OC27" s="553"/>
      <c r="OD27" s="169" t="s">
        <v>549</v>
      </c>
      <c r="OE27" s="703">
        <v>23.764030449782702</v>
      </c>
      <c r="OF27" s="704">
        <v>116.173735620917</v>
      </c>
      <c r="OG27" s="704">
        <v>73.655709503221104</v>
      </c>
      <c r="OH27" s="704">
        <v>57.608276927296401</v>
      </c>
      <c r="OI27" s="704">
        <v>249.19250505316199</v>
      </c>
      <c r="OJ27" s="704">
        <v>39.8366861103245</v>
      </c>
      <c r="OK27" s="173">
        <v>31.776230076409</v>
      </c>
      <c r="OL27" s="703">
        <v>48.924349339112297</v>
      </c>
      <c r="OM27" s="704">
        <v>123.0772641425</v>
      </c>
      <c r="ON27" s="704">
        <v>77.173153040735201</v>
      </c>
      <c r="OO27" s="704">
        <v>59.608278958066499</v>
      </c>
      <c r="OP27" s="704">
        <v>330.33132900496702</v>
      </c>
      <c r="OQ27" s="704">
        <v>165.38430886576799</v>
      </c>
      <c r="OR27" s="173">
        <v>1328.9164536293699</v>
      </c>
      <c r="OT27" s="169" t="s">
        <v>549</v>
      </c>
      <c r="OU27" s="172">
        <v>566.79272200000003</v>
      </c>
      <c r="OV27" s="337">
        <v>360.98562399999997</v>
      </c>
      <c r="OW27" s="337">
        <v>290.05458099999998</v>
      </c>
      <c r="OX27" s="173">
        <v>537.22321399999998</v>
      </c>
      <c r="OY27" s="703">
        <v>386.87422514209288</v>
      </c>
      <c r="OZ27" s="704">
        <v>331.2192836157206</v>
      </c>
      <c r="PA27" s="704">
        <v>270.68882808192842</v>
      </c>
      <c r="PB27" s="173">
        <v>670.65671811784773</v>
      </c>
      <c r="PC27" s="1137">
        <v>227.65233555622558</v>
      </c>
      <c r="PD27" s="1138">
        <v>277.64695428628397</v>
      </c>
      <c r="PE27" s="1138">
        <v>270.06241959342498</v>
      </c>
      <c r="PF27" s="1139">
        <v>730.46496285504099</v>
      </c>
      <c r="PH27" s="169" t="s">
        <v>549</v>
      </c>
      <c r="PI27" s="703">
        <v>68.46531672304269</v>
      </c>
      <c r="PJ27" s="704">
        <v>146.60285163643201</v>
      </c>
      <c r="PK27" s="704">
        <v>141.166109105038</v>
      </c>
      <c r="PL27" s="173">
        <v>315.01324370771209</v>
      </c>
      <c r="PM27" s="703">
        <v>159.18701883318312</v>
      </c>
      <c r="PN27" s="704">
        <v>131.04410264985199</v>
      </c>
      <c r="PO27" s="704">
        <v>128.896310488387</v>
      </c>
      <c r="PP27" s="173">
        <v>415.45171914732805</v>
      </c>
      <c r="PQ27" s="65"/>
      <c r="PR27" s="169" t="s">
        <v>549</v>
      </c>
      <c r="PS27" s="1038">
        <v>18.704576003934299</v>
      </c>
      <c r="PT27" s="1039">
        <v>88.081525705462695</v>
      </c>
      <c r="PU27" s="1039">
        <v>128.81207569580101</v>
      </c>
      <c r="PV27" s="1039">
        <v>13.681572839285799</v>
      </c>
      <c r="PW27" s="1039">
        <v>519.296593260083</v>
      </c>
      <c r="PX27" s="1040">
        <v>182.92990133002399</v>
      </c>
      <c r="PZ27" s="169" t="s">
        <v>549</v>
      </c>
      <c r="QA27" s="1038">
        <v>562.53749589022596</v>
      </c>
      <c r="QB27" s="1039">
        <v>389.96874995975003</v>
      </c>
      <c r="QC27" s="1039">
        <v>290.51735743445897</v>
      </c>
      <c r="QD27" s="1039">
        <v>44.624151589794202</v>
      </c>
      <c r="QE27" s="1039">
        <v>51.309797397982997</v>
      </c>
      <c r="QF27" s="1040">
        <v>3.51744353751408</v>
      </c>
    </row>
    <row r="28" spans="1:448" ht="13.5" customHeight="1">
      <c r="A28" s="591" t="s">
        <v>493</v>
      </c>
      <c r="B28" s="167" t="s">
        <v>550</v>
      </c>
      <c r="C28" s="1103">
        <v>3395.936256</v>
      </c>
      <c r="D28" s="690">
        <v>3116.4573843023927</v>
      </c>
      <c r="E28" s="691">
        <v>3062.7342531648301</v>
      </c>
      <c r="F28" s="428"/>
      <c r="G28" s="169" t="s">
        <v>550</v>
      </c>
      <c r="H28" s="577">
        <f t="shared" si="5"/>
        <v>-1.7029843588946769E-2</v>
      </c>
      <c r="I28" s="668">
        <f t="shared" si="6"/>
        <v>-3.4717274061254466E-3</v>
      </c>
      <c r="J28" s="612"/>
      <c r="K28" s="63"/>
      <c r="L28" s="167" t="s">
        <v>550</v>
      </c>
      <c r="M28" s="636">
        <v>32</v>
      </c>
      <c r="N28" s="637">
        <v>25</v>
      </c>
      <c r="O28" s="637">
        <v>25</v>
      </c>
      <c r="P28" s="637">
        <v>35</v>
      </c>
      <c r="Q28" s="637">
        <v>31</v>
      </c>
      <c r="R28" s="637">
        <v>20</v>
      </c>
      <c r="S28" s="637">
        <v>31</v>
      </c>
      <c r="T28" s="637">
        <v>30</v>
      </c>
      <c r="U28" s="1138">
        <v>23</v>
      </c>
      <c r="V28" s="1138">
        <v>21</v>
      </c>
      <c r="W28" s="1139">
        <v>15</v>
      </c>
      <c r="X28" s="169" t="s">
        <v>550</v>
      </c>
      <c r="Y28" s="666">
        <v>28.5</v>
      </c>
      <c r="Z28" s="667">
        <v>30</v>
      </c>
      <c r="AA28" s="667">
        <v>25.5</v>
      </c>
      <c r="AB28" s="667">
        <v>30.5</v>
      </c>
      <c r="AC28" s="667">
        <v>30.5</v>
      </c>
      <c r="AD28" s="668">
        <v>5.2631578947368418E-2</v>
      </c>
      <c r="AE28" s="668">
        <v>-0.15</v>
      </c>
      <c r="AF28" s="668">
        <v>0.19607843137254902</v>
      </c>
      <c r="AG28" s="1213">
        <v>-0.15</v>
      </c>
      <c r="AN28" s="169" t="s">
        <v>550</v>
      </c>
      <c r="AO28" s="636">
        <v>0</v>
      </c>
      <c r="AP28" s="637">
        <v>42.682605000000002</v>
      </c>
      <c r="AQ28" s="637">
        <v>285.08220499999999</v>
      </c>
      <c r="AR28" s="637">
        <v>553.406792</v>
      </c>
      <c r="AS28" s="637">
        <v>594.73835799999995</v>
      </c>
      <c r="AT28" s="637">
        <v>187.722364</v>
      </c>
      <c r="AU28" s="637">
        <v>528.90733599999999</v>
      </c>
      <c r="AV28" s="173">
        <v>692.21682999999996</v>
      </c>
      <c r="AW28" s="636">
        <v>0</v>
      </c>
      <c r="AX28" s="637">
        <v>74.308348930918868</v>
      </c>
      <c r="AY28" s="637">
        <v>339.87393365302421</v>
      </c>
      <c r="AZ28" s="637">
        <v>446.51289652215502</v>
      </c>
      <c r="BA28" s="637">
        <v>525.56526823060756</v>
      </c>
      <c r="BB28" s="637">
        <v>247.37697333632048</v>
      </c>
      <c r="BC28" s="637">
        <v>457.04307628188877</v>
      </c>
      <c r="BD28" s="173">
        <v>662.15884682824765</v>
      </c>
      <c r="BE28" s="1137">
        <v>0</v>
      </c>
      <c r="BF28" s="1138">
        <v>66.851909794719802</v>
      </c>
      <c r="BG28" s="1138">
        <v>375.50666478717801</v>
      </c>
      <c r="BH28" s="1138">
        <v>467.34958591326802</v>
      </c>
      <c r="BI28" s="1138">
        <v>464.73138561127001</v>
      </c>
      <c r="BJ28" s="1138">
        <v>162.528411224346</v>
      </c>
      <c r="BK28" s="1138">
        <v>509.81059673060003</v>
      </c>
      <c r="BL28" s="1139">
        <v>620.36842286667695</v>
      </c>
      <c r="BN28" s="169" t="s">
        <v>550</v>
      </c>
      <c r="BO28" s="647">
        <v>506.17977300000001</v>
      </c>
      <c r="BP28" s="648">
        <v>840.501487</v>
      </c>
      <c r="BQ28" s="648">
        <v>755.94080299999996</v>
      </c>
      <c r="BR28" s="648">
        <v>731.47483999999997</v>
      </c>
      <c r="BS28" s="648">
        <v>300.30790000000002</v>
      </c>
      <c r="BT28" s="173">
        <v>261.531452</v>
      </c>
      <c r="BU28" s="647">
        <v>372.61803348561511</v>
      </c>
      <c r="BV28" s="648">
        <v>902.88654960988083</v>
      </c>
      <c r="BW28" s="648">
        <v>672.40077560316638</v>
      </c>
      <c r="BX28" s="648">
        <v>633.05985502146075</v>
      </c>
      <c r="BY28" s="648">
        <v>318.31080082333312</v>
      </c>
      <c r="BZ28" s="173">
        <v>217.1813697589366</v>
      </c>
      <c r="CA28" s="1137">
        <v>407.58728842139197</v>
      </c>
      <c r="CB28" s="1138">
        <v>755.24837021178405</v>
      </c>
      <c r="CC28" s="1138">
        <v>679.46138922012699</v>
      </c>
      <c r="CD28" s="1138">
        <v>594.14614185240896</v>
      </c>
      <c r="CE28" s="1138">
        <v>382.39380981263298</v>
      </c>
      <c r="CF28" s="1139">
        <v>243.89725364648501</v>
      </c>
      <c r="CG28" s="429"/>
      <c r="CH28" s="169" t="s">
        <v>550</v>
      </c>
      <c r="CI28" s="172">
        <v>739.45455900000002</v>
      </c>
      <c r="CJ28" s="337">
        <v>2227.3482680000002</v>
      </c>
      <c r="CK28" s="337">
        <v>429.13342999999998</v>
      </c>
      <c r="CL28" s="647">
        <v>625.83917909011495</v>
      </c>
      <c r="CM28" s="648">
        <v>2136.2178993505468</v>
      </c>
      <c r="CN28" s="648">
        <v>354.40030586173128</v>
      </c>
      <c r="CO28" s="1137">
        <v>594.57550588406002</v>
      </c>
      <c r="CP28" s="1138">
        <v>2016.6427675481</v>
      </c>
      <c r="CQ28" s="1139">
        <v>451.51597973267201</v>
      </c>
      <c r="CR28" s="429"/>
      <c r="CS28" s="426"/>
      <c r="CT28" s="426"/>
      <c r="CU28" s="426"/>
      <c r="CV28" s="426"/>
      <c r="CW28" s="426"/>
      <c r="CX28" s="426"/>
      <c r="CY28" s="426"/>
      <c r="CZ28" s="426"/>
      <c r="DA28" s="426"/>
      <c r="DB28" s="426"/>
      <c r="DC28" s="426"/>
      <c r="DD28" s="426"/>
      <c r="DE28" s="426"/>
      <c r="DG28" s="169" t="s">
        <v>550</v>
      </c>
      <c r="DH28" s="1147" t="s">
        <v>744</v>
      </c>
      <c r="DI28" s="1150" t="s">
        <v>865</v>
      </c>
      <c r="DJ28" s="704" t="s">
        <v>866</v>
      </c>
      <c r="DK28" s="704" t="s">
        <v>867</v>
      </c>
      <c r="DL28" s="337" t="s">
        <v>868</v>
      </c>
      <c r="DM28" s="174" t="s">
        <v>869</v>
      </c>
      <c r="DN28" s="451"/>
      <c r="DO28" s="167" t="s">
        <v>550</v>
      </c>
      <c r="DP28" s="704">
        <v>1482.7573199999999</v>
      </c>
      <c r="DQ28" s="337">
        <v>1503.2711312318488</v>
      </c>
      <c r="DR28" s="1139">
        <v>1451.9451043291599</v>
      </c>
      <c r="DS28" s="63"/>
      <c r="DT28" s="169" t="s">
        <v>550</v>
      </c>
      <c r="DU28" s="172">
        <v>3105.9366100000002</v>
      </c>
      <c r="DV28" s="337">
        <v>2876.4575718654478</v>
      </c>
      <c r="DW28" s="1139">
        <v>2758.7339444877798</v>
      </c>
      <c r="DX28" s="63"/>
      <c r="DY28" s="169" t="s">
        <v>550</v>
      </c>
      <c r="DZ28" s="1089">
        <f t="shared" si="0"/>
        <v>2.094703272144359</v>
      </c>
      <c r="EA28" s="787">
        <f t="shared" si="1"/>
        <v>1.9134655832233987</v>
      </c>
      <c r="EB28" s="776">
        <f t="shared" si="2"/>
        <v>1.9000263413969729</v>
      </c>
      <c r="EC28" s="55"/>
      <c r="ED28" s="541"/>
      <c r="EE28" s="169" t="s">
        <v>550</v>
      </c>
      <c r="EF28" s="735">
        <v>566.04829700000005</v>
      </c>
      <c r="EG28" s="736">
        <v>59.213209999999997</v>
      </c>
      <c r="EH28" s="736">
        <v>359.398777</v>
      </c>
      <c r="EI28" s="736">
        <v>357.15441499999997</v>
      </c>
      <c r="EJ28" s="736">
        <v>140.942621</v>
      </c>
      <c r="EK28" s="703">
        <v>700.84987307864958</v>
      </c>
      <c r="EL28" s="704">
        <v>72.520094615852571</v>
      </c>
      <c r="EM28" s="704">
        <v>345.76722906710069</v>
      </c>
      <c r="EN28" s="704">
        <v>251.29132929175319</v>
      </c>
      <c r="EO28" s="704">
        <v>132.84260517849282</v>
      </c>
      <c r="EP28" s="1137">
        <v>674.66850102836099</v>
      </c>
      <c r="EQ28" s="1138">
        <v>66.530407082179593</v>
      </c>
      <c r="ER28" s="1138">
        <v>360.95092988051601</v>
      </c>
      <c r="ES28" s="1138">
        <v>242.46578185273299</v>
      </c>
      <c r="ET28" s="1139">
        <v>107.329484485376</v>
      </c>
      <c r="EV28" s="169" t="s">
        <v>550</v>
      </c>
      <c r="EW28" s="703">
        <v>64.251380999999995</v>
      </c>
      <c r="EX28" s="704">
        <v>253.61801800000001</v>
      </c>
      <c r="EY28" s="704">
        <v>158.51857200000001</v>
      </c>
      <c r="EZ28" s="704">
        <v>92.660321999999994</v>
      </c>
      <c r="FA28" s="703">
        <v>485.56006600000001</v>
      </c>
      <c r="FB28" s="704">
        <v>1339.9495360000001</v>
      </c>
      <c r="FC28" s="704">
        <v>605.70670299999995</v>
      </c>
      <c r="FD28" s="704">
        <v>163.540538</v>
      </c>
      <c r="FE28" s="703">
        <v>148.57014060005577</v>
      </c>
      <c r="FF28" s="704">
        <v>293.21643220048935</v>
      </c>
      <c r="FG28" s="704">
        <v>162.6442685239634</v>
      </c>
      <c r="FH28" s="173">
        <v>94.419033317166566</v>
      </c>
      <c r="FI28" s="703">
        <v>598.59754779853449</v>
      </c>
      <c r="FJ28" s="704">
        <v>1190.628738292422</v>
      </c>
      <c r="FK28" s="746">
        <v>556.69675808132683</v>
      </c>
      <c r="FL28" s="747">
        <v>153.91649733360083</v>
      </c>
      <c r="FM28" s="1137">
        <v>107.176054887642</v>
      </c>
      <c r="FN28" s="1138">
        <v>335.446946089454</v>
      </c>
      <c r="FO28" s="1138">
        <v>152.20888596727801</v>
      </c>
      <c r="FP28" s="1139">
        <v>78.836613068601494</v>
      </c>
      <c r="FQ28" s="1137">
        <v>408.80900814178</v>
      </c>
      <c r="FR28" s="1138">
        <v>1164.5649761730699</v>
      </c>
      <c r="FS28" s="1138">
        <v>584.55899386798205</v>
      </c>
      <c r="FT28" s="1139">
        <v>183.21366772971501</v>
      </c>
      <c r="FV28" s="167" t="s">
        <v>550</v>
      </c>
      <c r="FW28" s="337">
        <v>385.69666000000001</v>
      </c>
      <c r="FX28" s="337">
        <v>222.81514000000001</v>
      </c>
      <c r="FY28" s="337">
        <v>188.29983799999999</v>
      </c>
      <c r="FZ28" s="173">
        <v>60.684174999999996</v>
      </c>
      <c r="GA28" s="703">
        <v>381.93652934054296</v>
      </c>
      <c r="GB28" s="704">
        <v>174.69128285339485</v>
      </c>
      <c r="GC28" s="704">
        <v>130.4884859622309</v>
      </c>
      <c r="GD28" s="173">
        <v>42.784865381177951</v>
      </c>
      <c r="GE28" s="1137">
        <v>395.35959900585499</v>
      </c>
      <c r="GF28" s="1138">
        <v>126.669722209341</v>
      </c>
      <c r="GG28" s="1138">
        <v>139.31327639206501</v>
      </c>
      <c r="GH28" s="1139">
        <v>49.403598611362504</v>
      </c>
      <c r="GJ28" s="169" t="s">
        <v>550</v>
      </c>
      <c r="GK28" s="703">
        <v>1684.9981869999999</v>
      </c>
      <c r="GL28" s="704">
        <v>1709.9988275180926</v>
      </c>
      <c r="GM28" s="1139">
        <v>1702.00147022027</v>
      </c>
      <c r="GO28" s="169" t="s">
        <v>550</v>
      </c>
      <c r="GP28" s="703">
        <v>1485.7573159999999</v>
      </c>
      <c r="GQ28" s="704">
        <v>25.410187000000001</v>
      </c>
      <c r="GR28" s="173">
        <v>173.83068499999999</v>
      </c>
      <c r="GS28" s="703">
        <v>1500.2711335763872</v>
      </c>
      <c r="GT28" s="704">
        <v>46.961284359662422</v>
      </c>
      <c r="GU28" s="173">
        <v>162.766409582043</v>
      </c>
      <c r="GV28" s="1137">
        <v>1447.9451002676201</v>
      </c>
      <c r="GW28" s="1138">
        <v>82.285966370353194</v>
      </c>
      <c r="GX28" s="1139">
        <v>171.770403582292</v>
      </c>
      <c r="GZ28" s="169" t="s">
        <v>550</v>
      </c>
      <c r="HA28" s="172">
        <v>824.94956100000002</v>
      </c>
      <c r="HB28" s="337">
        <v>860.04862600000001</v>
      </c>
      <c r="HC28" s="173">
        <f t="shared" si="7"/>
        <v>0</v>
      </c>
      <c r="HD28" s="703">
        <v>845.03690015672362</v>
      </c>
      <c r="HE28" s="704">
        <v>851.14426175971425</v>
      </c>
      <c r="HF28" s="173">
        <f t="shared" si="8"/>
        <v>13.81766560165488</v>
      </c>
      <c r="HG28" s="583">
        <v>840.73665804276595</v>
      </c>
      <c r="HH28" s="1138">
        <v>861.26481217750404</v>
      </c>
      <c r="HI28" s="173">
        <f t="shared" si="9"/>
        <v>0</v>
      </c>
      <c r="HK28" s="169" t="s">
        <v>550</v>
      </c>
      <c r="HL28" s="704">
        <v>1485.7573159999999</v>
      </c>
      <c r="HM28" s="704">
        <v>5868.0208739999998</v>
      </c>
      <c r="HN28" s="776">
        <f t="shared" si="10"/>
        <v>3.94951504583404</v>
      </c>
      <c r="HO28" s="703">
        <v>1500.2711335763872</v>
      </c>
      <c r="HP28" s="704">
        <v>5342.6286720918797</v>
      </c>
      <c r="HQ28" s="776">
        <f t="shared" si="11"/>
        <v>3.5611087572924074</v>
      </c>
      <c r="HR28" s="1138">
        <v>1447.9451002676201</v>
      </c>
      <c r="HS28" s="1138">
        <v>5539.0241257348698</v>
      </c>
      <c r="HT28" s="784">
        <f t="shared" si="12"/>
        <v>3.8254379428550886</v>
      </c>
      <c r="HV28" s="169" t="s">
        <v>550</v>
      </c>
      <c r="HW28" s="172">
        <v>741.63132800000005</v>
      </c>
      <c r="HX28" s="337">
        <v>3296.9767879999999</v>
      </c>
      <c r="HY28" s="787">
        <f t="shared" si="13"/>
        <v>4.4455737824494914</v>
      </c>
      <c r="HZ28" s="704">
        <v>744.12598800000001</v>
      </c>
      <c r="IA28" s="704">
        <v>2571.0440859999999</v>
      </c>
      <c r="IB28" s="787">
        <f t="shared" si="14"/>
        <v>3.4551193312173365</v>
      </c>
      <c r="IC28" s="703">
        <v>772.0501055472929</v>
      </c>
      <c r="ID28" s="704">
        <v>3310.1057067768879</v>
      </c>
      <c r="IE28" s="787">
        <f t="shared" si="15"/>
        <v>4.2874234236784563</v>
      </c>
      <c r="IF28" s="704">
        <v>714.40336242743945</v>
      </c>
      <c r="IG28" s="704">
        <v>1987.9494406550143</v>
      </c>
      <c r="IH28" s="776">
        <f t="shared" si="16"/>
        <v>2.7826708904340109</v>
      </c>
      <c r="II28" s="1137">
        <v>752.51589401304</v>
      </c>
      <c r="IJ28" s="1138">
        <v>3352.0017127575002</v>
      </c>
      <c r="IK28" s="1170">
        <f t="shared" si="17"/>
        <v>4.454393241957777</v>
      </c>
      <c r="IL28" s="1138">
        <v>695.42920625458396</v>
      </c>
      <c r="IM28" s="1138">
        <v>2187.0224129773801</v>
      </c>
      <c r="IN28" s="1171">
        <f t="shared" si="18"/>
        <v>3.1448526942895625</v>
      </c>
      <c r="IP28" s="169" t="s">
        <v>550</v>
      </c>
      <c r="IQ28" s="703">
        <v>27.792413</v>
      </c>
      <c r="IR28" s="704">
        <v>221.69342700000001</v>
      </c>
      <c r="IS28" s="704">
        <v>348.65774900000002</v>
      </c>
      <c r="IT28" s="704">
        <v>368.72844199999997</v>
      </c>
      <c r="IU28" s="704">
        <v>518.88528499999995</v>
      </c>
      <c r="IV28" s="704">
        <v>5868.0208739999998</v>
      </c>
      <c r="IW28" s="703">
        <v>112.81559157450162</v>
      </c>
      <c r="IX28" s="704">
        <v>358.42200350521449</v>
      </c>
      <c r="IY28" s="704">
        <v>296.76432969285673</v>
      </c>
      <c r="IZ28" s="704">
        <v>321.67509974835122</v>
      </c>
      <c r="JA28" s="704">
        <v>410.59410905546321</v>
      </c>
      <c r="JB28" s="173">
        <v>5342.6286720918797</v>
      </c>
      <c r="JC28" s="1137">
        <v>84.600655603032806</v>
      </c>
      <c r="JD28" s="1138">
        <v>213.38281316582601</v>
      </c>
      <c r="JE28" s="1138">
        <v>306.69960649329403</v>
      </c>
      <c r="JF28" s="1138">
        <v>370.05937175918501</v>
      </c>
      <c r="JG28" s="1138">
        <v>473.20265324628701</v>
      </c>
      <c r="JH28" s="1139">
        <v>5539.0241257348698</v>
      </c>
      <c r="JJ28" s="169" t="s">
        <v>550</v>
      </c>
      <c r="JK28" s="172">
        <v>744.04682200000002</v>
      </c>
      <c r="JL28" s="337">
        <v>407.50616200000002</v>
      </c>
      <c r="JM28" s="337">
        <v>130.762056</v>
      </c>
      <c r="JN28" s="173">
        <v>203.44227599999999</v>
      </c>
      <c r="JO28" s="703">
        <v>769.95942264304381</v>
      </c>
      <c r="JP28" s="704">
        <v>512.49451388359478</v>
      </c>
      <c r="JQ28" s="704">
        <v>62.881636078582581</v>
      </c>
      <c r="JR28" s="173">
        <v>154.93556097116618</v>
      </c>
      <c r="JS28" s="1137">
        <v>777.34410868310397</v>
      </c>
      <c r="JT28" s="1138">
        <v>417.63058373347803</v>
      </c>
      <c r="JU28" s="1138">
        <v>100.47861461487901</v>
      </c>
      <c r="JV28" s="1139">
        <v>152.49179323616301</v>
      </c>
      <c r="JX28" s="169" t="s">
        <v>550</v>
      </c>
      <c r="JY28" s="703">
        <v>257.27244329917897</v>
      </c>
      <c r="JZ28" s="704">
        <v>346.07438638708101</v>
      </c>
      <c r="KA28" s="704">
        <v>280.84030692060702</v>
      </c>
      <c r="KB28" s="173">
        <v>563.75796366075701</v>
      </c>
      <c r="KC28" s="603"/>
      <c r="KD28" s="169" t="s">
        <v>550</v>
      </c>
      <c r="KE28" s="703">
        <v>7.8442245619391002</v>
      </c>
      <c r="KF28" s="704">
        <v>32.190104700038901</v>
      </c>
      <c r="KG28" s="704">
        <v>309.898616374379</v>
      </c>
      <c r="KH28" s="704">
        <v>234.50206979039399</v>
      </c>
      <c r="KI28" s="704">
        <v>104.199518698285</v>
      </c>
      <c r="KJ28" s="173">
        <v>6.79467212954731</v>
      </c>
      <c r="KK28" s="703">
        <v>80.705804133535807</v>
      </c>
      <c r="KL28" s="704">
        <v>342.974555818836</v>
      </c>
      <c r="KM28" s="704">
        <v>154.91183172276899</v>
      </c>
      <c r="KN28" s="704">
        <v>87.155957460975699</v>
      </c>
      <c r="KO28" s="704">
        <v>42.102881033551199</v>
      </c>
      <c r="KP28" s="173">
        <v>44.664863843373098</v>
      </c>
      <c r="KQ28" s="703">
        <v>88.550028695475007</v>
      </c>
      <c r="KR28" s="704">
        <v>375.164660518875</v>
      </c>
      <c r="KS28" s="704">
        <v>464.81044809714803</v>
      </c>
      <c r="KT28" s="704">
        <v>321.65802725137002</v>
      </c>
      <c r="KU28" s="704">
        <v>146.302399731837</v>
      </c>
      <c r="KV28" s="173">
        <v>51.459535972920399</v>
      </c>
      <c r="KW28" s="429"/>
      <c r="KX28" s="169" t="s">
        <v>550</v>
      </c>
      <c r="KY28" s="172">
        <f t="shared" si="19"/>
        <v>235.75263199999995</v>
      </c>
      <c r="KZ28" s="337">
        <v>883.95495800000003</v>
      </c>
      <c r="LA28" s="173">
        <v>363.04973000000001</v>
      </c>
      <c r="LB28" s="172">
        <f t="shared" si="3"/>
        <v>272.69849340896235</v>
      </c>
      <c r="LC28" s="704">
        <v>900.86871058783538</v>
      </c>
      <c r="LD28" s="173">
        <v>329.70392723505097</v>
      </c>
      <c r="LE28" s="172">
        <f t="shared" si="4"/>
        <v>308.70093358474492</v>
      </c>
      <c r="LF28" s="1138">
        <v>830.40038893977498</v>
      </c>
      <c r="LG28" s="1139">
        <v>312.84378180464</v>
      </c>
      <c r="LH28" s="426"/>
      <c r="LI28" s="169" t="s">
        <v>550</v>
      </c>
      <c r="LJ28" s="703">
        <v>1662.1039510000001</v>
      </c>
      <c r="LK28" s="704">
        <v>1521.8137449999999</v>
      </c>
      <c r="LL28" s="704">
        <v>140.29020600000001</v>
      </c>
      <c r="LM28" s="704">
        <v>291.405979</v>
      </c>
      <c r="LN28" s="704">
        <v>133.25926000000001</v>
      </c>
      <c r="LO28" s="173">
        <v>373.85386299999999</v>
      </c>
      <c r="LP28" s="703">
        <v>1634.7769954224318</v>
      </c>
      <c r="LQ28" s="704">
        <v>1441.614102332461</v>
      </c>
      <c r="LR28" s="704">
        <v>193.16289308997096</v>
      </c>
      <c r="LS28" s="704">
        <v>321.02237063793581</v>
      </c>
      <c r="LT28" s="704">
        <v>129.11831655007722</v>
      </c>
      <c r="LU28" s="173">
        <v>304.52136234460153</v>
      </c>
      <c r="LV28" s="1137">
        <v>1519.44388995023</v>
      </c>
      <c r="LW28" s="1138">
        <v>1362.0217233010701</v>
      </c>
      <c r="LX28" s="1138">
        <v>157.422166649167</v>
      </c>
      <c r="LY28" s="1138">
        <v>221.87235389950499</v>
      </c>
      <c r="LZ28" s="1138">
        <v>91.617935483858005</v>
      </c>
      <c r="MA28" s="1139">
        <v>370.69680567717103</v>
      </c>
      <c r="MC28" s="169" t="s">
        <v>550</v>
      </c>
      <c r="MD28" s="703">
        <v>0</v>
      </c>
      <c r="ME28" s="704">
        <v>38.848612000000003</v>
      </c>
      <c r="MF28" s="704">
        <v>269.62492099999997</v>
      </c>
      <c r="MG28" s="704">
        <v>503.62501600000002</v>
      </c>
      <c r="MH28" s="704">
        <v>532.85035700000003</v>
      </c>
      <c r="MI28" s="173">
        <v>175.86483999999999</v>
      </c>
      <c r="MJ28" s="703">
        <v>0</v>
      </c>
      <c r="MK28" s="704">
        <v>63.778651424711008</v>
      </c>
      <c r="ML28" s="704">
        <v>336.34743250436549</v>
      </c>
      <c r="MM28" s="704">
        <v>413.85552966998119</v>
      </c>
      <c r="MN28" s="704">
        <v>455.60258246000279</v>
      </c>
      <c r="MO28" s="173">
        <v>180.02990002129835</v>
      </c>
      <c r="MP28" s="1137">
        <v>0</v>
      </c>
      <c r="MQ28" s="1138">
        <v>59.657654355405803</v>
      </c>
      <c r="MR28" s="1138">
        <v>357.45073825314199</v>
      </c>
      <c r="MS28" s="1138">
        <v>423.38027984537098</v>
      </c>
      <c r="MT28" s="1138">
        <v>411.89599402315901</v>
      </c>
      <c r="MU28" s="1139">
        <v>116.637063931683</v>
      </c>
      <c r="MW28" s="169" t="s">
        <v>550</v>
      </c>
      <c r="MX28" s="172">
        <v>1533.0359570000001</v>
      </c>
      <c r="MY28" s="337">
        <v>1431.7525720000001</v>
      </c>
      <c r="MZ28" s="337">
        <v>101.283385</v>
      </c>
      <c r="NA28" s="703">
        <v>1452.236998402773</v>
      </c>
      <c r="NB28" s="704">
        <v>1325.1211645535575</v>
      </c>
      <c r="NC28" s="173">
        <v>127.11583384921562</v>
      </c>
      <c r="ND28" s="1137">
        <v>1372.7643329653699</v>
      </c>
      <c r="NE28" s="1138">
        <v>1229.6091765937899</v>
      </c>
      <c r="NF28" s="1139">
        <v>143.15515637157901</v>
      </c>
      <c r="NH28" s="169" t="s">
        <v>550</v>
      </c>
      <c r="NI28" s="703">
        <v>1045.1330247135959</v>
      </c>
      <c r="NJ28" s="173">
        <v>279.98813983996132</v>
      </c>
      <c r="NK28" s="703">
        <v>74.328523005084463</v>
      </c>
      <c r="NL28" s="704">
        <v>52.787310844131163</v>
      </c>
      <c r="NM28" s="173">
        <v>0</v>
      </c>
      <c r="NN28" s="1137">
        <v>982.94081316980305</v>
      </c>
      <c r="NO28" s="1139">
        <v>246.66836342398901</v>
      </c>
      <c r="NP28" s="1137">
        <v>88.049911990398499</v>
      </c>
      <c r="NQ28" s="1138">
        <v>55.105244381180803</v>
      </c>
      <c r="NR28" s="1139">
        <v>0</v>
      </c>
      <c r="NS28" s="136"/>
      <c r="NT28" s="169" t="s">
        <v>550</v>
      </c>
      <c r="NU28" s="703">
        <v>167.3814373668832</v>
      </c>
      <c r="NV28" s="704">
        <v>18.019330024450081</v>
      </c>
      <c r="NW28" s="704">
        <v>21.917615846212328</v>
      </c>
      <c r="NX28" s="173">
        <v>72.669756602415717</v>
      </c>
      <c r="NY28" s="1137">
        <v>185.76232921856601</v>
      </c>
      <c r="NZ28" s="1138">
        <v>12.5721615262483</v>
      </c>
      <c r="OA28" s="1138">
        <v>1.0000010153850201</v>
      </c>
      <c r="OB28" s="1139">
        <v>47.333871663789701</v>
      </c>
      <c r="OC28" s="553"/>
      <c r="OD28" s="169" t="s">
        <v>550</v>
      </c>
      <c r="OE28" s="703">
        <v>70.669955641160001</v>
      </c>
      <c r="OF28" s="704">
        <v>166.588019223717</v>
      </c>
      <c r="OG28" s="704">
        <v>107.078877063786</v>
      </c>
      <c r="OH28" s="704">
        <v>84.085975918389707</v>
      </c>
      <c r="OI28" s="704">
        <v>193.88976716325499</v>
      </c>
      <c r="OJ28" s="704">
        <v>53.045674165494702</v>
      </c>
      <c r="OK28" s="173">
        <v>23.479091893221099</v>
      </c>
      <c r="OL28" s="703">
        <v>90.604036156803005</v>
      </c>
      <c r="OM28" s="704">
        <v>166.588019223717</v>
      </c>
      <c r="ON28" s="704">
        <v>107.078877063786</v>
      </c>
      <c r="OO28" s="704">
        <v>90.634333189536605</v>
      </c>
      <c r="OP28" s="704">
        <v>383.17474095226999</v>
      </c>
      <c r="OQ28" s="704">
        <v>281.43929606997801</v>
      </c>
      <c r="OR28" s="173">
        <v>1899.8985945316499</v>
      </c>
      <c r="OT28" s="169" t="s">
        <v>550</v>
      </c>
      <c r="OU28" s="172">
        <v>728.66282100000001</v>
      </c>
      <c r="OV28" s="337">
        <v>562.71736199999998</v>
      </c>
      <c r="OW28" s="337">
        <v>489.380202</v>
      </c>
      <c r="OX28" s="173">
        <v>735.03172900000004</v>
      </c>
      <c r="OY28" s="703">
        <v>487.82770609012829</v>
      </c>
      <c r="OZ28" s="704">
        <v>457.36537089842773</v>
      </c>
      <c r="PA28" s="704">
        <v>452.28307434898579</v>
      </c>
      <c r="PB28" s="173">
        <v>867.0815610818546</v>
      </c>
      <c r="PC28" s="1137">
        <v>498.361071215636</v>
      </c>
      <c r="PD28" s="1138">
        <v>466.01461977679401</v>
      </c>
      <c r="PE28" s="1138">
        <v>472.29828937026599</v>
      </c>
      <c r="PF28" s="1139">
        <v>863.97247524038198</v>
      </c>
      <c r="PH28" s="169" t="s">
        <v>550</v>
      </c>
      <c r="PI28" s="703">
        <v>307.07241287351599</v>
      </c>
      <c r="PJ28" s="704">
        <v>339.75494127779899</v>
      </c>
      <c r="PK28" s="704">
        <v>240.30542553893</v>
      </c>
      <c r="PL28" s="173">
        <v>395.45476745434098</v>
      </c>
      <c r="PM28" s="703">
        <v>191.2886583421199</v>
      </c>
      <c r="PN28" s="704">
        <v>126.259678498995</v>
      </c>
      <c r="PO28" s="704">
        <v>231.992863831336</v>
      </c>
      <c r="PP28" s="173">
        <v>468.517707786041</v>
      </c>
      <c r="PQ28" s="65"/>
      <c r="PR28" s="169" t="s">
        <v>550</v>
      </c>
      <c r="PS28" s="1038">
        <v>104.717193164815</v>
      </c>
      <c r="PT28" s="1039">
        <v>169.93039291024201</v>
      </c>
      <c r="PU28" s="1039">
        <v>171.73078148611299</v>
      </c>
      <c r="PV28" s="1039">
        <v>13.746180767877799</v>
      </c>
      <c r="PW28" s="1039">
        <v>622.68973294365605</v>
      </c>
      <c r="PX28" s="1040">
        <v>296.950058800362</v>
      </c>
      <c r="PZ28" s="169" t="s">
        <v>550</v>
      </c>
      <c r="QA28" s="1038">
        <v>891.476067125854</v>
      </c>
      <c r="QB28" s="1039">
        <v>481.28826583951701</v>
      </c>
      <c r="QC28" s="1039">
        <v>385.45309198294501</v>
      </c>
      <c r="QD28" s="1039">
        <v>37.379521946653298</v>
      </c>
      <c r="QE28" s="1039">
        <v>55.261105044829002</v>
      </c>
      <c r="QF28" s="1040">
        <v>3.1945468650895901</v>
      </c>
    </row>
    <row r="29" spans="1:448" ht="13.5" customHeight="1">
      <c r="A29" s="591" t="s">
        <v>494</v>
      </c>
      <c r="B29" s="167" t="s">
        <v>551</v>
      </c>
      <c r="C29" s="1103">
        <v>1991.363263</v>
      </c>
      <c r="D29" s="690">
        <v>1821.9113853655983</v>
      </c>
      <c r="E29" s="691">
        <v>1858.108923087</v>
      </c>
      <c r="F29" s="428"/>
      <c r="G29" s="169" t="s">
        <v>551</v>
      </c>
      <c r="H29" s="577">
        <f t="shared" si="5"/>
        <v>-1.7629410904055343E-2</v>
      </c>
      <c r="I29" s="668">
        <f t="shared" si="6"/>
        <v>3.9423709335371093E-3</v>
      </c>
      <c r="J29" s="612"/>
      <c r="K29" s="63"/>
      <c r="L29" s="167" t="s">
        <v>551</v>
      </c>
      <c r="M29" s="636">
        <v>8</v>
      </c>
      <c r="N29" s="637">
        <v>15</v>
      </c>
      <c r="O29" s="637">
        <v>6</v>
      </c>
      <c r="P29" s="637">
        <v>10</v>
      </c>
      <c r="Q29" s="637">
        <v>7</v>
      </c>
      <c r="R29" s="637">
        <v>11</v>
      </c>
      <c r="S29" s="637">
        <v>6</v>
      </c>
      <c r="T29" s="637">
        <v>9</v>
      </c>
      <c r="U29" s="1138">
        <v>10</v>
      </c>
      <c r="V29" s="1138">
        <v>6</v>
      </c>
      <c r="W29" s="1139">
        <v>3</v>
      </c>
      <c r="X29" s="169" t="s">
        <v>551</v>
      </c>
      <c r="Y29" s="666">
        <v>11.5</v>
      </c>
      <c r="Z29" s="667">
        <v>8</v>
      </c>
      <c r="AA29" s="667">
        <v>9</v>
      </c>
      <c r="AB29" s="667">
        <v>7.5</v>
      </c>
      <c r="AC29" s="667">
        <v>7.5</v>
      </c>
      <c r="AD29" s="668">
        <v>-0.30434782608695654</v>
      </c>
      <c r="AE29" s="668">
        <v>0.125</v>
      </c>
      <c r="AF29" s="668">
        <v>-0.16666666666666666</v>
      </c>
      <c r="AG29" s="1213">
        <v>0.125</v>
      </c>
      <c r="AN29" s="169" t="s">
        <v>551</v>
      </c>
      <c r="AO29" s="636">
        <v>0</v>
      </c>
      <c r="AP29" s="637">
        <v>44.438614000000001</v>
      </c>
      <c r="AQ29" s="637">
        <v>104.38477399999999</v>
      </c>
      <c r="AR29" s="637">
        <v>256.91139399999997</v>
      </c>
      <c r="AS29" s="637">
        <v>159.721655</v>
      </c>
      <c r="AT29" s="637">
        <v>90.831559999999996</v>
      </c>
      <c r="AU29" s="637">
        <v>989.23717199999999</v>
      </c>
      <c r="AV29" s="173">
        <v>231.25566000000001</v>
      </c>
      <c r="AW29" s="636">
        <v>0</v>
      </c>
      <c r="AX29" s="637">
        <v>45.278413233492081</v>
      </c>
      <c r="AY29" s="637">
        <v>84.732040440267042</v>
      </c>
      <c r="AZ29" s="637">
        <v>134.51149750810686</v>
      </c>
      <c r="BA29" s="637">
        <v>159.90164439985065</v>
      </c>
      <c r="BB29" s="637">
        <v>86.540838001444087</v>
      </c>
      <c r="BC29" s="637">
        <v>1002.3754598889328</v>
      </c>
      <c r="BD29" s="173">
        <v>193.93951565037099</v>
      </c>
      <c r="BE29" s="1137">
        <v>0</v>
      </c>
      <c r="BF29" s="1138">
        <v>34.681906572449101</v>
      </c>
      <c r="BG29" s="1138">
        <v>98.376114745753199</v>
      </c>
      <c r="BH29" s="1138">
        <v>214.12259172912999</v>
      </c>
      <c r="BI29" s="1138">
        <v>172.35047427498901</v>
      </c>
      <c r="BJ29" s="1138">
        <v>61.609257949929003</v>
      </c>
      <c r="BK29" s="1138">
        <v>815.27970175090104</v>
      </c>
      <c r="BL29" s="1139">
        <v>288.28836238624001</v>
      </c>
      <c r="BN29" s="169" t="s">
        <v>551</v>
      </c>
      <c r="BO29" s="647">
        <v>114.58243400000001</v>
      </c>
      <c r="BP29" s="648">
        <v>313.49528299999997</v>
      </c>
      <c r="BQ29" s="648">
        <v>216.530553</v>
      </c>
      <c r="BR29" s="648">
        <v>264.199161</v>
      </c>
      <c r="BS29" s="648">
        <v>465.987438</v>
      </c>
      <c r="BT29" s="173">
        <v>616.56839400000001</v>
      </c>
      <c r="BU29" s="647">
        <v>114.63197624313392</v>
      </c>
      <c r="BV29" s="648">
        <v>249.26143075001625</v>
      </c>
      <c r="BW29" s="648">
        <v>164.7578059814939</v>
      </c>
      <c r="BX29" s="648">
        <v>209.59995508294321</v>
      </c>
      <c r="BY29" s="648">
        <v>395.59251190489778</v>
      </c>
      <c r="BZ29" s="173">
        <v>688.06770540311322</v>
      </c>
      <c r="CA29" s="1137">
        <v>173.40051367761001</v>
      </c>
      <c r="CB29" s="1138">
        <v>374.42256988819997</v>
      </c>
      <c r="CC29" s="1138">
        <v>185.017230091974</v>
      </c>
      <c r="CD29" s="1138">
        <v>227.77085313186001</v>
      </c>
      <c r="CE29" s="1138">
        <v>301.47944071541099</v>
      </c>
      <c r="CF29" s="1139">
        <v>596.01831558194601</v>
      </c>
      <c r="CG29" s="429"/>
      <c r="CH29" s="169" t="s">
        <v>551</v>
      </c>
      <c r="CI29" s="172">
        <v>213.09181799999999</v>
      </c>
      <c r="CJ29" s="337">
        <v>886.86085000000003</v>
      </c>
      <c r="CK29" s="337">
        <v>891.41059399999995</v>
      </c>
      <c r="CL29" s="647">
        <v>174.77987631259415</v>
      </c>
      <c r="CM29" s="648">
        <v>659.40661693223808</v>
      </c>
      <c r="CN29" s="648">
        <v>987.72489212076619</v>
      </c>
      <c r="CO29" s="1137">
        <v>313.699192657011</v>
      </c>
      <c r="CP29" s="1138">
        <v>716.00748177921605</v>
      </c>
      <c r="CQ29" s="1139">
        <v>828.40224865077403</v>
      </c>
      <c r="CR29" s="486"/>
      <c r="CS29" s="655" t="s">
        <v>415</v>
      </c>
      <c r="CT29" s="1240">
        <f>INDEX('Aides traitements'!$E$4:$E$5,'Page de garde'!$G$4,1)</f>
        <v>2009</v>
      </c>
      <c r="CU29" s="1241"/>
      <c r="CV29" s="1241"/>
      <c r="CW29" s="1254"/>
      <c r="CX29" s="1286">
        <f>'Aides traitements'!$I$11</f>
        <v>2020</v>
      </c>
      <c r="CY29" s="1326"/>
      <c r="CZ29" s="1326"/>
      <c r="DA29" s="1287"/>
      <c r="DB29" s="426"/>
      <c r="DC29" s="426"/>
      <c r="DD29" s="426"/>
      <c r="DE29" s="426"/>
      <c r="DG29" s="169" t="s">
        <v>551</v>
      </c>
      <c r="DH29" s="1147" t="s">
        <v>745</v>
      </c>
      <c r="DI29" s="1150" t="s">
        <v>870</v>
      </c>
      <c r="DJ29" s="704" t="s">
        <v>871</v>
      </c>
      <c r="DK29" s="704" t="s">
        <v>872</v>
      </c>
      <c r="DL29" s="337" t="s">
        <v>873</v>
      </c>
      <c r="DM29" s="174" t="s">
        <v>845</v>
      </c>
      <c r="DN29" s="451"/>
      <c r="DO29" s="167" t="s">
        <v>551</v>
      </c>
      <c r="DP29" s="704">
        <v>1168.0425640000001</v>
      </c>
      <c r="DQ29" s="337">
        <v>1143.169475490507</v>
      </c>
      <c r="DR29" s="1139">
        <v>1111.72025344042</v>
      </c>
      <c r="DS29" s="63"/>
      <c r="DT29" s="169" t="s">
        <v>551</v>
      </c>
      <c r="DU29" s="172">
        <v>1991.363263</v>
      </c>
      <c r="DV29" s="337">
        <v>1821.9113853655983</v>
      </c>
      <c r="DW29" s="1139">
        <v>1858.108923087</v>
      </c>
      <c r="DX29" s="63"/>
      <c r="DY29" s="169" t="s">
        <v>551</v>
      </c>
      <c r="DZ29" s="1089">
        <f t="shared" si="0"/>
        <v>1.7048721719356794</v>
      </c>
      <c r="EA29" s="787">
        <f t="shared" si="1"/>
        <v>1.5937369081551616</v>
      </c>
      <c r="EB29" s="776">
        <f t="shared" si="2"/>
        <v>1.6713817323528513</v>
      </c>
      <c r="EC29" s="55"/>
      <c r="ED29" s="541"/>
      <c r="EE29" s="169" t="s">
        <v>551</v>
      </c>
      <c r="EF29" s="735">
        <v>584.26568799999995</v>
      </c>
      <c r="EG29" s="736">
        <v>52.473106000000001</v>
      </c>
      <c r="EH29" s="736">
        <v>372.067902</v>
      </c>
      <c r="EI29" s="736">
        <v>109.07878599999999</v>
      </c>
      <c r="EJ29" s="736">
        <v>50.157082000000003</v>
      </c>
      <c r="EK29" s="703">
        <v>618.5194797429765</v>
      </c>
      <c r="EL29" s="704">
        <v>48.021284910224423</v>
      </c>
      <c r="EM29" s="704">
        <v>332.88293451491023</v>
      </c>
      <c r="EN29" s="704">
        <v>83.698895943067299</v>
      </c>
      <c r="EO29" s="704">
        <v>60.046880379328478</v>
      </c>
      <c r="EP29" s="1137">
        <v>617.40957424115095</v>
      </c>
      <c r="EQ29" s="1138">
        <v>44.741360385929497</v>
      </c>
      <c r="ER29" s="1138">
        <v>253.06785057598</v>
      </c>
      <c r="ES29" s="1138">
        <v>112.00096817043899</v>
      </c>
      <c r="ET29" s="1139">
        <v>84.500500066918505</v>
      </c>
      <c r="EV29" s="169" t="s">
        <v>551</v>
      </c>
      <c r="EW29" s="703">
        <v>27.950264000000001</v>
      </c>
      <c r="EX29" s="704">
        <v>64.554982999999993</v>
      </c>
      <c r="EY29" s="704">
        <v>275.40366299999999</v>
      </c>
      <c r="EZ29" s="704">
        <v>216.35677699999999</v>
      </c>
      <c r="FA29" s="703">
        <v>242.66825</v>
      </c>
      <c r="FB29" s="704">
        <v>441.608452</v>
      </c>
      <c r="FC29" s="704">
        <v>802.545479</v>
      </c>
      <c r="FD29" s="704">
        <v>389.95864899999998</v>
      </c>
      <c r="FE29" s="703">
        <v>43.633152530434359</v>
      </c>
      <c r="FF29" s="704">
        <v>83.406624876538672</v>
      </c>
      <c r="FG29" s="704">
        <v>283.85047302764855</v>
      </c>
      <c r="FH29" s="173">
        <v>207.62922930835489</v>
      </c>
      <c r="FI29" s="703">
        <v>163.64773248045708</v>
      </c>
      <c r="FJ29" s="704">
        <v>390.23103938847203</v>
      </c>
      <c r="FK29" s="746">
        <v>701.00621966564972</v>
      </c>
      <c r="FL29" s="747">
        <v>452.39441758788558</v>
      </c>
      <c r="FM29" s="1137">
        <v>46.261053959456298</v>
      </c>
      <c r="FN29" s="1138">
        <v>89.088134450652802</v>
      </c>
      <c r="FO29" s="1138">
        <v>246.092620267473</v>
      </c>
      <c r="FP29" s="1139">
        <v>235.967765563569</v>
      </c>
      <c r="FQ29" s="1137">
        <v>259.82327169516401</v>
      </c>
      <c r="FR29" s="1138">
        <v>446.711093802638</v>
      </c>
      <c r="FS29" s="1138">
        <v>536.77770241268604</v>
      </c>
      <c r="FT29" s="1139">
        <v>441.39634149890298</v>
      </c>
      <c r="FV29" s="167" t="s">
        <v>551</v>
      </c>
      <c r="FW29" s="337">
        <v>390.277221</v>
      </c>
      <c r="FX29" s="337">
        <v>79.909148000000002</v>
      </c>
      <c r="FY29" s="337">
        <v>43.346753999999997</v>
      </c>
      <c r="FZ29" s="173">
        <v>17.770647</v>
      </c>
      <c r="GA29" s="703">
        <v>365.29289470816713</v>
      </c>
      <c r="GB29" s="704">
        <v>65.378191390906693</v>
      </c>
      <c r="GC29" s="704">
        <v>35.974170358283608</v>
      </c>
      <c r="GD29" s="173">
        <v>9.9834543799486752</v>
      </c>
      <c r="GE29" s="1137">
        <v>281.85121210829402</v>
      </c>
      <c r="GF29" s="1138">
        <v>77.289029802873401</v>
      </c>
      <c r="GG29" s="1138">
        <v>76.0484839783025</v>
      </c>
      <c r="GH29" s="1139">
        <v>14.380592923867971</v>
      </c>
      <c r="GJ29" s="169" t="s">
        <v>551</v>
      </c>
      <c r="GK29" s="703">
        <v>1300.9985750000001</v>
      </c>
      <c r="GL29" s="704">
        <v>1304.4991065978022</v>
      </c>
      <c r="GM29" s="1139">
        <v>1292.00112882294</v>
      </c>
      <c r="GO29" s="169" t="s">
        <v>551</v>
      </c>
      <c r="GP29" s="703">
        <v>1168.0425640000001</v>
      </c>
      <c r="GQ29" s="704">
        <v>14.409464</v>
      </c>
      <c r="GR29" s="173">
        <v>118.546547</v>
      </c>
      <c r="GS29" s="703">
        <v>1143.169475490507</v>
      </c>
      <c r="GT29" s="704">
        <v>11.849634868785035</v>
      </c>
      <c r="GU29" s="173">
        <v>149.47999623851032</v>
      </c>
      <c r="GV29" s="1137">
        <v>1111.72025344042</v>
      </c>
      <c r="GW29" s="1138">
        <v>27.689113038975599</v>
      </c>
      <c r="GX29" s="1139">
        <v>152.59176234354999</v>
      </c>
      <c r="GZ29" s="169" t="s">
        <v>551</v>
      </c>
      <c r="HA29" s="172">
        <v>0</v>
      </c>
      <c r="HB29" s="337">
        <v>1299.8268889999999</v>
      </c>
      <c r="HC29" s="173">
        <f t="shared" si="7"/>
        <v>1.1716860000001361</v>
      </c>
      <c r="HD29" s="703">
        <v>5.0539710533191649</v>
      </c>
      <c r="HE29" s="704">
        <v>1292.91353478736</v>
      </c>
      <c r="HF29" s="173">
        <f t="shared" si="8"/>
        <v>6.5316007571229875</v>
      </c>
      <c r="HG29" s="583">
        <v>0.98664562865269501</v>
      </c>
      <c r="HH29" s="1138">
        <v>1287.0678976741999</v>
      </c>
      <c r="HI29" s="173">
        <f t="shared" si="9"/>
        <v>3.9465855200874103</v>
      </c>
      <c r="HK29" s="169" t="s">
        <v>551</v>
      </c>
      <c r="HL29" s="704">
        <v>1168.0425640000001</v>
      </c>
      <c r="HM29" s="704">
        <v>4869.277865</v>
      </c>
      <c r="HN29" s="776">
        <f t="shared" si="10"/>
        <v>4.1687503649909798</v>
      </c>
      <c r="HO29" s="703">
        <v>1143.169475490507</v>
      </c>
      <c r="HP29" s="704">
        <v>4492.3717352300309</v>
      </c>
      <c r="HQ29" s="776">
        <f t="shared" si="11"/>
        <v>3.9297513024501116</v>
      </c>
      <c r="HR29" s="1138">
        <v>1111.72025344042</v>
      </c>
      <c r="HS29" s="1138">
        <v>4406.4440488846903</v>
      </c>
      <c r="HT29" s="784">
        <f t="shared" si="12"/>
        <v>3.9636266724908085</v>
      </c>
      <c r="HV29" s="169" t="s">
        <v>551</v>
      </c>
      <c r="HW29" s="172">
        <v>0</v>
      </c>
      <c r="HX29" s="337">
        <v>0</v>
      </c>
      <c r="HY29" s="787">
        <v>0</v>
      </c>
      <c r="HZ29" s="704">
        <v>1166.8708779999999</v>
      </c>
      <c r="IA29" s="704">
        <v>4868.1061790000003</v>
      </c>
      <c r="IB29" s="787">
        <f t="shared" si="14"/>
        <v>4.1719321912839789</v>
      </c>
      <c r="IC29" s="703">
        <v>4.1208847100023842</v>
      </c>
      <c r="ID29" s="704">
        <v>15.550453225911612</v>
      </c>
      <c r="IE29" s="787">
        <v>0</v>
      </c>
      <c r="IF29" s="704">
        <v>1134.3831627100149</v>
      </c>
      <c r="IG29" s="704">
        <v>4470.2896827054337</v>
      </c>
      <c r="IH29" s="776">
        <f t="shared" si="16"/>
        <v>3.9407228788780824</v>
      </c>
      <c r="II29" s="1137">
        <v>0</v>
      </c>
      <c r="IJ29" s="1138">
        <v>0</v>
      </c>
      <c r="IK29" s="1170">
        <v>0</v>
      </c>
      <c r="IL29" s="1138">
        <v>1108.7603135489801</v>
      </c>
      <c r="IM29" s="1138">
        <v>4403.4841089932497</v>
      </c>
      <c r="IN29" s="1171">
        <f t="shared" si="18"/>
        <v>3.9715383525032015</v>
      </c>
      <c r="IP29" s="169" t="s">
        <v>551</v>
      </c>
      <c r="IQ29" s="703">
        <v>38.810037000000001</v>
      </c>
      <c r="IR29" s="704">
        <v>29.130198</v>
      </c>
      <c r="IS29" s="704">
        <v>201.65625800000001</v>
      </c>
      <c r="IT29" s="704">
        <v>458.49925500000001</v>
      </c>
      <c r="IU29" s="704">
        <v>439.94681600000001</v>
      </c>
      <c r="IV29" s="704">
        <v>4869.277865</v>
      </c>
      <c r="IW29" s="703">
        <v>43.838592472832687</v>
      </c>
      <c r="IX29" s="704">
        <v>62.226335838015785</v>
      </c>
      <c r="IY29" s="704">
        <v>314.41663994265025</v>
      </c>
      <c r="IZ29" s="704">
        <v>366.26650199617319</v>
      </c>
      <c r="JA29" s="704">
        <v>356.4214052408351</v>
      </c>
      <c r="JB29" s="173">
        <v>4492.3717352300309</v>
      </c>
      <c r="JC29" s="1137">
        <v>27.157521265454701</v>
      </c>
      <c r="JD29" s="1138">
        <v>64.740971970535995</v>
      </c>
      <c r="JE29" s="1138">
        <v>265.131753719318</v>
      </c>
      <c r="JF29" s="1138">
        <v>389.55453702945698</v>
      </c>
      <c r="JG29" s="1138">
        <v>365.13546945565201</v>
      </c>
      <c r="JH29" s="1139">
        <v>4406.4440488846903</v>
      </c>
      <c r="JJ29" s="169" t="s">
        <v>551</v>
      </c>
      <c r="JK29" s="172">
        <v>886.42588499999999</v>
      </c>
      <c r="JL29" s="337">
        <v>256.56633899999997</v>
      </c>
      <c r="JM29" s="337">
        <v>5.1999709999999997</v>
      </c>
      <c r="JN29" s="173">
        <v>19.850369000000001</v>
      </c>
      <c r="JO29" s="703">
        <v>878.16478435428667</v>
      </c>
      <c r="JP29" s="704">
        <v>246.61493003032083</v>
      </c>
      <c r="JQ29" s="704">
        <v>5.9290809036069918</v>
      </c>
      <c r="JR29" s="173">
        <v>12.46068020229246</v>
      </c>
      <c r="JS29" s="1137">
        <v>813.64129438092402</v>
      </c>
      <c r="JT29" s="1138">
        <v>273.05554658262542</v>
      </c>
      <c r="JU29" s="1138">
        <v>9.9159441594045994</v>
      </c>
      <c r="JV29" s="1139">
        <v>15.107468317464299</v>
      </c>
      <c r="JX29" s="169" t="s">
        <v>551</v>
      </c>
      <c r="JY29" s="703">
        <v>145.04457822165301</v>
      </c>
      <c r="JZ29" s="704">
        <v>202.941361643611</v>
      </c>
      <c r="KA29" s="704">
        <v>169.89734388241601</v>
      </c>
      <c r="KB29" s="173">
        <v>593.83696969273797</v>
      </c>
      <c r="KC29" s="603"/>
      <c r="KD29" s="169" t="s">
        <v>551</v>
      </c>
      <c r="KE29" s="703">
        <v>18.2467716819645</v>
      </c>
      <c r="KF29" s="704">
        <v>10.064576500903399</v>
      </c>
      <c r="KG29" s="704">
        <v>914.82497840796304</v>
      </c>
      <c r="KH29" s="704">
        <v>140.09540397864299</v>
      </c>
      <c r="KI29" s="704">
        <v>11.028194662746101</v>
      </c>
      <c r="KJ29" s="173">
        <v>11.0223861827783</v>
      </c>
      <c r="KK29" s="703">
        <v>0</v>
      </c>
      <c r="KL29" s="704">
        <v>0</v>
      </c>
      <c r="KM29" s="704">
        <v>0</v>
      </c>
      <c r="KN29" s="704">
        <v>0</v>
      </c>
      <c r="KO29" s="704">
        <v>0</v>
      </c>
      <c r="KP29" s="173">
        <v>0</v>
      </c>
      <c r="KQ29" s="703">
        <v>18.2467716819645</v>
      </c>
      <c r="KR29" s="704">
        <v>10.064576500903399</v>
      </c>
      <c r="KS29" s="704">
        <v>916.79827166891903</v>
      </c>
      <c r="KT29" s="704">
        <v>140.09540397864299</v>
      </c>
      <c r="KU29" s="704">
        <v>11.028194662746101</v>
      </c>
      <c r="KV29" s="173">
        <v>11.0223861827783</v>
      </c>
      <c r="KW29" s="429"/>
      <c r="KX29" s="169" t="s">
        <v>551</v>
      </c>
      <c r="KY29" s="172">
        <f t="shared" si="19"/>
        <v>277.53441700000008</v>
      </c>
      <c r="KZ29" s="337">
        <v>659.20073400000001</v>
      </c>
      <c r="LA29" s="173">
        <v>231.307413</v>
      </c>
      <c r="LB29" s="172">
        <f t="shared" si="3"/>
        <v>269.65679599904001</v>
      </c>
      <c r="LC29" s="704">
        <v>693.90888924962348</v>
      </c>
      <c r="LD29" s="173">
        <v>179.60379024184354</v>
      </c>
      <c r="LE29" s="172">
        <f t="shared" si="4"/>
        <v>295.97766699740112</v>
      </c>
      <c r="LF29" s="1138">
        <v>661.00384025255096</v>
      </c>
      <c r="LG29" s="1139">
        <v>154.73874619046799</v>
      </c>
      <c r="LH29" s="426"/>
      <c r="LI29" s="169" t="s">
        <v>551</v>
      </c>
      <c r="LJ29" s="703">
        <v>649.70517500000005</v>
      </c>
      <c r="LK29" s="704">
        <v>584.89463000000001</v>
      </c>
      <c r="LL29" s="704">
        <v>64.810545000000005</v>
      </c>
      <c r="LM29" s="704">
        <v>156.82458299999999</v>
      </c>
      <c r="LN29" s="704">
        <v>151.476552</v>
      </c>
      <c r="LO29" s="173">
        <v>27.363924999999998</v>
      </c>
      <c r="LP29" s="703">
        <v>500.07450685488487</v>
      </c>
      <c r="LQ29" s="704">
        <v>446.34250624611349</v>
      </c>
      <c r="LR29" s="704">
        <v>53.732000608771429</v>
      </c>
      <c r="LS29" s="704">
        <v>102.5659527187256</v>
      </c>
      <c r="LT29" s="704">
        <v>62.822116780760503</v>
      </c>
      <c r="LU29" s="173">
        <v>54.091940647327299</v>
      </c>
      <c r="LV29" s="1137">
        <v>574.96186456691498</v>
      </c>
      <c r="LW29" s="1138">
        <v>500.289283926319</v>
      </c>
      <c r="LX29" s="1138">
        <v>74.672580640595598</v>
      </c>
      <c r="LY29" s="1138">
        <v>182.35023832170299</v>
      </c>
      <c r="LZ29" s="1138">
        <v>51.420626174610803</v>
      </c>
      <c r="MA29" s="1139">
        <v>47.573431695387697</v>
      </c>
      <c r="MC29" s="169" t="s">
        <v>551</v>
      </c>
      <c r="MD29" s="703">
        <v>0</v>
      </c>
      <c r="ME29" s="704">
        <v>44.438614000000001</v>
      </c>
      <c r="MF29" s="704">
        <v>93.541336999999999</v>
      </c>
      <c r="MG29" s="704">
        <v>233.407295</v>
      </c>
      <c r="MH29" s="704">
        <v>142.316562</v>
      </c>
      <c r="MI29" s="173">
        <v>71.190822999999995</v>
      </c>
      <c r="MJ29" s="703">
        <v>0</v>
      </c>
      <c r="MK29" s="704">
        <v>36.254657733412095</v>
      </c>
      <c r="ML29" s="704">
        <v>74.624099792066417</v>
      </c>
      <c r="MM29" s="704">
        <v>122.62197393207242</v>
      </c>
      <c r="MN29" s="704">
        <v>141.69449766659849</v>
      </c>
      <c r="MO29" s="173">
        <v>71.147277121964009</v>
      </c>
      <c r="MP29" s="1137">
        <v>0</v>
      </c>
      <c r="MQ29" s="1138">
        <v>29.3601868791512</v>
      </c>
      <c r="MR29" s="1138">
        <v>93.054704969252697</v>
      </c>
      <c r="MS29" s="1138">
        <v>183.27228905632199</v>
      </c>
      <c r="MT29" s="1138">
        <v>139.300901478643</v>
      </c>
      <c r="MU29" s="1139">
        <v>55.301201542950601</v>
      </c>
      <c r="MW29" s="169" t="s">
        <v>551</v>
      </c>
      <c r="MX29" s="172">
        <v>591.47745199999997</v>
      </c>
      <c r="MY29" s="337">
        <v>525.042192</v>
      </c>
      <c r="MZ29" s="337">
        <v>66.43526</v>
      </c>
      <c r="NA29" s="703">
        <v>458.51311856484887</v>
      </c>
      <c r="NB29" s="704">
        <v>404.88277865457832</v>
      </c>
      <c r="NC29" s="173">
        <v>53.6303399102705</v>
      </c>
      <c r="ND29" s="1137">
        <v>509.94576676563997</v>
      </c>
      <c r="NE29" s="1138">
        <v>452.25951183949098</v>
      </c>
      <c r="NF29" s="1139">
        <v>57.686254926148699</v>
      </c>
      <c r="NH29" s="169" t="s">
        <v>551</v>
      </c>
      <c r="NI29" s="703">
        <v>338.10217245067327</v>
      </c>
      <c r="NJ29" s="173">
        <v>66.78060620390508</v>
      </c>
      <c r="NK29" s="703">
        <v>34.623130030241839</v>
      </c>
      <c r="NL29" s="704">
        <v>19.007209880028658</v>
      </c>
      <c r="NM29" s="173">
        <v>0</v>
      </c>
      <c r="NN29" s="1137">
        <v>381.79522030048798</v>
      </c>
      <c r="NO29" s="1139">
        <v>70.464291539003071</v>
      </c>
      <c r="NP29" s="1137">
        <v>40.989410090320703</v>
      </c>
      <c r="NQ29" s="1138">
        <v>16.696844835827999</v>
      </c>
      <c r="NR29" s="1139">
        <v>0</v>
      </c>
      <c r="NS29" s="136"/>
      <c r="NT29" s="169" t="s">
        <v>551</v>
      </c>
      <c r="NU29" s="703">
        <v>41.206006551981538</v>
      </c>
      <c r="NV29" s="704">
        <v>6.1931368889657401</v>
      </c>
      <c r="NW29" s="704">
        <v>0</v>
      </c>
      <c r="NX29" s="173">
        <v>19.381462762957799</v>
      </c>
      <c r="NY29" s="1137">
        <v>45.440879062134101</v>
      </c>
      <c r="NZ29" s="1138">
        <v>8.7994119104859703</v>
      </c>
      <c r="OA29" s="1138">
        <v>0</v>
      </c>
      <c r="OB29" s="1139">
        <v>16.224000566383001</v>
      </c>
      <c r="OC29" s="553"/>
      <c r="OD29" s="169" t="s">
        <v>551</v>
      </c>
      <c r="OE29" s="703">
        <v>46.328349341680699</v>
      </c>
      <c r="OF29" s="704">
        <v>38.542894275884997</v>
      </c>
      <c r="OG29" s="704">
        <v>53.369964518235498</v>
      </c>
      <c r="OH29" s="704">
        <v>62.992323582175203</v>
      </c>
      <c r="OI29" s="704">
        <v>152.02824016623899</v>
      </c>
      <c r="OJ29" s="704">
        <v>11.152271801219101</v>
      </c>
      <c r="OK29" s="173">
        <v>14.1352401612879</v>
      </c>
      <c r="OL29" s="703">
        <v>54.1411146216888</v>
      </c>
      <c r="OM29" s="704">
        <v>48.745966389562803</v>
      </c>
      <c r="ON29" s="704">
        <v>56.847966652220997</v>
      </c>
      <c r="OO29" s="704">
        <v>62.992323582175203</v>
      </c>
      <c r="OP29" s="704">
        <v>196.83094811298901</v>
      </c>
      <c r="OQ29" s="704">
        <v>114.59929819303601</v>
      </c>
      <c r="OR29" s="173">
        <v>1310.2858395211899</v>
      </c>
      <c r="OT29" s="169" t="s">
        <v>551</v>
      </c>
      <c r="OU29" s="172">
        <v>596.05120699999998</v>
      </c>
      <c r="OV29" s="337">
        <v>355.83366799999999</v>
      </c>
      <c r="OW29" s="337">
        <v>312.915099</v>
      </c>
      <c r="OX29" s="173">
        <v>411.05433900000003</v>
      </c>
      <c r="OY29" s="703">
        <v>555.26669273480661</v>
      </c>
      <c r="OZ29" s="704">
        <v>320.65376126626762</v>
      </c>
      <c r="PA29" s="704">
        <v>282.19699542150522</v>
      </c>
      <c r="PB29" s="173">
        <v>399.69940655451802</v>
      </c>
      <c r="PC29" s="1137">
        <v>380.748112662148</v>
      </c>
      <c r="PD29" s="1138">
        <v>266.253935705277</v>
      </c>
      <c r="PE29" s="1138">
        <v>312.60504844794701</v>
      </c>
      <c r="PF29" s="1139">
        <v>484.79323688309796</v>
      </c>
      <c r="PH29" s="169" t="s">
        <v>551</v>
      </c>
      <c r="PI29" s="703">
        <v>81.095804536146801</v>
      </c>
      <c r="PJ29" s="704">
        <v>113.905020440435</v>
      </c>
      <c r="PK29" s="704">
        <v>151.309374542081</v>
      </c>
      <c r="PL29" s="173">
        <v>215.28349373050298</v>
      </c>
      <c r="PM29" s="703">
        <v>299.652308126001</v>
      </c>
      <c r="PN29" s="704">
        <v>152.34891526484199</v>
      </c>
      <c r="PO29" s="704">
        <v>161.29567390586601</v>
      </c>
      <c r="PP29" s="173">
        <v>269.50974315259543</v>
      </c>
      <c r="PQ29" s="65"/>
      <c r="PR29" s="169" t="s">
        <v>551</v>
      </c>
      <c r="PS29" s="1038">
        <v>12.794454253307199</v>
      </c>
      <c r="PT29" s="1039">
        <v>40.193061663439103</v>
      </c>
      <c r="PU29" s="1039">
        <v>39.682523360676399</v>
      </c>
      <c r="PV29" s="1039">
        <v>8.6839447663466895</v>
      </c>
      <c r="PW29" s="1039">
        <v>246.69034645569999</v>
      </c>
      <c r="PX29" s="1040">
        <v>161.90143626617001</v>
      </c>
      <c r="PZ29" s="169" t="s">
        <v>551</v>
      </c>
      <c r="QA29" s="1038">
        <v>325.204179501895</v>
      </c>
      <c r="QB29" s="1039">
        <v>184.74158726374401</v>
      </c>
      <c r="QC29" s="1039">
        <v>152.409053275118</v>
      </c>
      <c r="QD29" s="1039">
        <v>5.4512953949412397</v>
      </c>
      <c r="QE29" s="1039">
        <v>26.881238593685399</v>
      </c>
      <c r="QF29" s="1040">
        <v>0</v>
      </c>
    </row>
    <row r="30" spans="1:448" ht="13.2" customHeight="1">
      <c r="A30" s="591" t="s">
        <v>495</v>
      </c>
      <c r="B30" s="167" t="s">
        <v>552</v>
      </c>
      <c r="C30" s="1103">
        <v>2199.0831710000002</v>
      </c>
      <c r="D30" s="690">
        <v>2642.4168456267889</v>
      </c>
      <c r="E30" s="691">
        <v>2837.3110493426002</v>
      </c>
      <c r="F30" s="428"/>
      <c r="G30" s="169" t="s">
        <v>552</v>
      </c>
      <c r="H30" s="577">
        <f t="shared" si="5"/>
        <v>3.7413594691709573E-2</v>
      </c>
      <c r="I30" s="668">
        <f t="shared" si="6"/>
        <v>1.4334329128957046E-2</v>
      </c>
      <c r="J30" s="612"/>
      <c r="K30" s="63"/>
      <c r="L30" s="167" t="s">
        <v>552</v>
      </c>
      <c r="M30" s="636">
        <v>33</v>
      </c>
      <c r="N30" s="637">
        <v>52</v>
      </c>
      <c r="O30" s="637">
        <v>53</v>
      </c>
      <c r="P30" s="637">
        <v>58</v>
      </c>
      <c r="Q30" s="637">
        <v>55</v>
      </c>
      <c r="R30" s="637">
        <v>56</v>
      </c>
      <c r="S30" s="637">
        <v>40</v>
      </c>
      <c r="T30" s="637">
        <v>40</v>
      </c>
      <c r="U30" s="1138">
        <v>58</v>
      </c>
      <c r="V30" s="1138">
        <v>38</v>
      </c>
      <c r="W30" s="1139">
        <v>38</v>
      </c>
      <c r="X30" s="169" t="s">
        <v>552</v>
      </c>
      <c r="Y30" s="666">
        <v>42.5</v>
      </c>
      <c r="Z30" s="667">
        <v>55.5</v>
      </c>
      <c r="AA30" s="667">
        <v>55.5</v>
      </c>
      <c r="AB30" s="667">
        <v>40</v>
      </c>
      <c r="AC30" s="667">
        <v>40</v>
      </c>
      <c r="AD30" s="668">
        <v>0.30588235294117649</v>
      </c>
      <c r="AE30" s="668">
        <v>0</v>
      </c>
      <c r="AF30" s="668">
        <v>-0.27927927927927926</v>
      </c>
      <c r="AG30" s="1213">
        <v>0</v>
      </c>
      <c r="AN30" s="169" t="s">
        <v>552</v>
      </c>
      <c r="AO30" s="636">
        <v>0</v>
      </c>
      <c r="AP30" s="637">
        <v>15.362237</v>
      </c>
      <c r="AQ30" s="637">
        <v>40.006259</v>
      </c>
      <c r="AR30" s="637">
        <v>156.137317</v>
      </c>
      <c r="AS30" s="637">
        <v>382.55000200000001</v>
      </c>
      <c r="AT30" s="637">
        <v>315.04327499999999</v>
      </c>
      <c r="AU30" s="637">
        <v>488.96136899999999</v>
      </c>
      <c r="AV30" s="173">
        <v>345.18045100000001</v>
      </c>
      <c r="AW30" s="636">
        <v>0</v>
      </c>
      <c r="AX30" s="637">
        <v>44.086956900008722</v>
      </c>
      <c r="AY30" s="637">
        <v>23.594118381342721</v>
      </c>
      <c r="AZ30" s="637">
        <v>115.34644775078952</v>
      </c>
      <c r="BA30" s="637">
        <v>443.52070801232298</v>
      </c>
      <c r="BB30" s="637">
        <v>295.34366771166736</v>
      </c>
      <c r="BC30" s="637">
        <v>442.21200902097189</v>
      </c>
      <c r="BD30" s="173">
        <v>451.11196184010817</v>
      </c>
      <c r="BE30" s="1137">
        <v>0</v>
      </c>
      <c r="BF30" s="1138">
        <v>45.517634053527402</v>
      </c>
      <c r="BG30" s="1138">
        <v>22.4501043412054</v>
      </c>
      <c r="BH30" s="1138">
        <v>178.72397651596401</v>
      </c>
      <c r="BI30" s="1138">
        <v>455.26109316881099</v>
      </c>
      <c r="BJ30" s="1138">
        <v>330.41487221530002</v>
      </c>
      <c r="BK30" s="1138">
        <v>318.32261223303698</v>
      </c>
      <c r="BL30" s="1139">
        <v>630.96145866955999</v>
      </c>
      <c r="BN30" s="169" t="s">
        <v>552</v>
      </c>
      <c r="BO30" s="647">
        <v>455.84226100000001</v>
      </c>
      <c r="BP30" s="648">
        <v>422.25073099999997</v>
      </c>
      <c r="BQ30" s="648">
        <v>423.94758200000001</v>
      </c>
      <c r="BR30" s="648">
        <v>382.21329100000003</v>
      </c>
      <c r="BS30" s="648">
        <v>344.05521599999997</v>
      </c>
      <c r="BT30" s="173">
        <v>170.774091</v>
      </c>
      <c r="BU30" s="647">
        <v>827.20097600957763</v>
      </c>
      <c r="BV30" s="648">
        <v>434.97402902610241</v>
      </c>
      <c r="BW30" s="648">
        <v>455.53258821425442</v>
      </c>
      <c r="BX30" s="648">
        <v>406.86291057577478</v>
      </c>
      <c r="BY30" s="648">
        <v>326.75341987242763</v>
      </c>
      <c r="BZ30" s="173">
        <v>191.0929219286522</v>
      </c>
      <c r="CA30" s="1137">
        <v>855.65929814519598</v>
      </c>
      <c r="CB30" s="1138">
        <v>637.67884583362195</v>
      </c>
      <c r="CC30" s="1138">
        <v>478.86945810673001</v>
      </c>
      <c r="CD30" s="1138">
        <v>411.31380024430001</v>
      </c>
      <c r="CE30" s="1138">
        <v>272.89110765659802</v>
      </c>
      <c r="CF30" s="1139">
        <v>180.898539356155</v>
      </c>
      <c r="CG30" s="429"/>
      <c r="CH30" s="169" t="s">
        <v>552</v>
      </c>
      <c r="CI30" s="172">
        <v>602.32111999999995</v>
      </c>
      <c r="CJ30" s="337">
        <v>1202.776568</v>
      </c>
      <c r="CK30" s="337">
        <v>393.98548399999999</v>
      </c>
      <c r="CL30" s="647">
        <v>999.03243055906125</v>
      </c>
      <c r="CM30" s="648">
        <v>1244.7020300450483</v>
      </c>
      <c r="CN30" s="648">
        <v>398.68238502267945</v>
      </c>
      <c r="CO30" s="1137">
        <v>1097.4454910198101</v>
      </c>
      <c r="CP30" s="1138">
        <v>1390.6261201214099</v>
      </c>
      <c r="CQ30" s="1139">
        <v>349.23943820138101</v>
      </c>
      <c r="CR30" s="429"/>
      <c r="CT30" s="1267" t="str">
        <f>INDEX('Aides traitements'!$A$5:$A$58,'Page de garde'!$C$4,1)</f>
        <v>Paul Bert</v>
      </c>
      <c r="CU30" s="1268"/>
      <c r="CV30" s="1267" t="str">
        <f>VLOOKUP($CX$7,'Aides traitements'!$A$5:$B$58,2,FALSE)</f>
        <v>Tours nord</v>
      </c>
      <c r="CW30" s="1268"/>
      <c r="CX30" s="1286" t="str">
        <f>INDEX('Aides traitements'!$A$5:$A$58,'Page de garde'!$C$4,1)</f>
        <v>Paul Bert</v>
      </c>
      <c r="CY30" s="1287"/>
      <c r="CZ30" s="1286" t="str">
        <f>VLOOKUP($CX$7,'Aides traitements'!$A$5:$B$58,2,FALSE)</f>
        <v>Tours nord</v>
      </c>
      <c r="DA30" s="1287"/>
      <c r="DB30" s="426"/>
      <c r="DC30" s="426"/>
      <c r="DD30" s="426"/>
      <c r="DE30" s="426"/>
      <c r="DG30" s="169" t="s">
        <v>552</v>
      </c>
      <c r="DH30" s="1147" t="s">
        <v>746</v>
      </c>
      <c r="DI30" s="1150" t="s">
        <v>746</v>
      </c>
      <c r="DJ30" s="704" t="s">
        <v>874</v>
      </c>
      <c r="DK30" s="704" t="s">
        <v>875</v>
      </c>
      <c r="DL30" s="337" t="s">
        <v>876</v>
      </c>
      <c r="DM30" s="174" t="s">
        <v>877</v>
      </c>
      <c r="DN30" s="451"/>
      <c r="DO30" s="167" t="s">
        <v>552</v>
      </c>
      <c r="DP30" s="704">
        <v>1002.244227</v>
      </c>
      <c r="DQ30" s="337">
        <v>1005.1231073845202</v>
      </c>
      <c r="DR30" s="1139">
        <v>1025.1025502632799</v>
      </c>
      <c r="DS30" s="63"/>
      <c r="DT30" s="169" t="s">
        <v>552</v>
      </c>
      <c r="DU30" s="172">
        <v>2199.0831710000002</v>
      </c>
      <c r="DV30" s="337">
        <v>2642.4168456267889</v>
      </c>
      <c r="DW30" s="1139">
        <v>2837.3110493426002</v>
      </c>
      <c r="DX30" s="63"/>
      <c r="DY30" s="169" t="s">
        <v>552</v>
      </c>
      <c r="DZ30" s="1089">
        <f t="shared" si="0"/>
        <v>2.1941589801744001</v>
      </c>
      <c r="EA30" s="787">
        <f t="shared" si="1"/>
        <v>2.6289484603560163</v>
      </c>
      <c r="EB30" s="776">
        <f t="shared" si="2"/>
        <v>2.7678314219527458</v>
      </c>
      <c r="EC30" s="55"/>
      <c r="ED30" s="541"/>
      <c r="EE30" s="169" t="s">
        <v>552</v>
      </c>
      <c r="EF30" s="735">
        <v>384.28119500000003</v>
      </c>
      <c r="EG30" s="736">
        <v>35.832211999999998</v>
      </c>
      <c r="EH30" s="736">
        <v>215.64793700000001</v>
      </c>
      <c r="EI30" s="736">
        <v>227.95987400000001</v>
      </c>
      <c r="EJ30" s="736">
        <v>138.523009</v>
      </c>
      <c r="EK30" s="703">
        <v>319.34059923014877</v>
      </c>
      <c r="EL30" s="704">
        <v>36.071323530397507</v>
      </c>
      <c r="EM30" s="704">
        <v>175.02154426564633</v>
      </c>
      <c r="EN30" s="704">
        <v>267.46095641639562</v>
      </c>
      <c r="EO30" s="704">
        <v>207.22868394193199</v>
      </c>
      <c r="EP30" s="1137">
        <v>311.21978649005001</v>
      </c>
      <c r="EQ30" s="1138">
        <v>50.974064879486498</v>
      </c>
      <c r="ER30" s="1138">
        <v>118.97730857277099</v>
      </c>
      <c r="ES30" s="1138">
        <v>314.19387154052799</v>
      </c>
      <c r="ET30" s="1139">
        <v>229.73751878044399</v>
      </c>
      <c r="EV30" s="169" t="s">
        <v>552</v>
      </c>
      <c r="EW30" s="703">
        <v>8.2255210000000005</v>
      </c>
      <c r="EX30" s="704">
        <v>160.28971100000001</v>
      </c>
      <c r="EY30" s="704">
        <v>168.78218100000001</v>
      </c>
      <c r="EZ30" s="704">
        <v>46.983781999999998</v>
      </c>
      <c r="FA30" s="703">
        <v>278.55414400000001</v>
      </c>
      <c r="FB30" s="704">
        <v>822.21951999999999</v>
      </c>
      <c r="FC30" s="704">
        <v>564.75899100000004</v>
      </c>
      <c r="FD30" s="704">
        <v>77.708256000000006</v>
      </c>
      <c r="FE30" s="703">
        <v>11.943503031613041</v>
      </c>
      <c r="FF30" s="704">
        <v>68.063455735322435</v>
      </c>
      <c r="FG30" s="704">
        <v>167.55521301588905</v>
      </c>
      <c r="FH30" s="173">
        <v>71.778427447324262</v>
      </c>
      <c r="FI30" s="703">
        <v>295.24118091702917</v>
      </c>
      <c r="FJ30" s="704">
        <v>874.45030335868591</v>
      </c>
      <c r="FK30" s="746">
        <v>530.01632892648854</v>
      </c>
      <c r="FL30" s="747">
        <v>115.50805641500769</v>
      </c>
      <c r="FM30" s="1137">
        <v>30.6723571340037</v>
      </c>
      <c r="FN30" s="1138">
        <v>84.347363635607493</v>
      </c>
      <c r="FO30" s="1138">
        <v>122.042232692523</v>
      </c>
      <c r="FP30" s="1139">
        <v>74.157833027915601</v>
      </c>
      <c r="FQ30" s="1137">
        <v>493.21998234494998</v>
      </c>
      <c r="FR30" s="1138">
        <v>919.99135729472903</v>
      </c>
      <c r="FS30" s="1138">
        <v>438.87896493585498</v>
      </c>
      <c r="FT30" s="1139">
        <v>129.561446621871</v>
      </c>
      <c r="FV30" s="167" t="s">
        <v>552</v>
      </c>
      <c r="FW30" s="337">
        <v>247.26570100000001</v>
      </c>
      <c r="FX30" s="337">
        <v>130.631778</v>
      </c>
      <c r="FY30" s="337">
        <v>144.90750399999999</v>
      </c>
      <c r="FZ30" s="173">
        <v>63.214330000000004</v>
      </c>
      <c r="GA30" s="703">
        <v>222.98419116019315</v>
      </c>
      <c r="GB30" s="704">
        <v>138.90271142723387</v>
      </c>
      <c r="GC30" s="704">
        <v>131.79780197178783</v>
      </c>
      <c r="GD30" s="173">
        <v>164.02591593151561</v>
      </c>
      <c r="GE30" s="1137">
        <v>172.25336427459499</v>
      </c>
      <c r="GF30" s="1138">
        <v>157.24803458849399</v>
      </c>
      <c r="GG30" s="1138">
        <v>145.82690023644699</v>
      </c>
      <c r="GH30" s="1139">
        <v>194.44456915558419</v>
      </c>
      <c r="GJ30" s="169" t="s">
        <v>552</v>
      </c>
      <c r="GK30" s="703">
        <v>1049.998777</v>
      </c>
      <c r="GL30" s="704">
        <v>1048.9992144828816</v>
      </c>
      <c r="GM30" s="1139">
        <v>1112.0010408727201</v>
      </c>
      <c r="GO30" s="169" t="s">
        <v>552</v>
      </c>
      <c r="GP30" s="703">
        <v>1002.244227</v>
      </c>
      <c r="GQ30" s="704">
        <v>0</v>
      </c>
      <c r="GR30" s="173">
        <v>47.754550000000002</v>
      </c>
      <c r="GS30" s="703">
        <v>1005.1231073845202</v>
      </c>
      <c r="GT30" s="704">
        <v>0</v>
      </c>
      <c r="GU30" s="173">
        <v>43.876107098361381</v>
      </c>
      <c r="GV30" s="1137">
        <v>1025.1025502632799</v>
      </c>
      <c r="GW30" s="1138">
        <v>4.4486722173737299</v>
      </c>
      <c r="GX30" s="1139">
        <v>82.449818392061701</v>
      </c>
      <c r="GZ30" s="169" t="s">
        <v>552</v>
      </c>
      <c r="HA30" s="172">
        <v>10.263303000000001</v>
      </c>
      <c r="HB30" s="337">
        <v>1031.5099540000001</v>
      </c>
      <c r="HC30" s="173">
        <f t="shared" si="7"/>
        <v>8.2255199999999604</v>
      </c>
      <c r="HD30" s="703">
        <v>4.0288336773273299</v>
      </c>
      <c r="HE30" s="704">
        <v>1040.9815167336833</v>
      </c>
      <c r="HF30" s="173">
        <f t="shared" si="8"/>
        <v>3.9888640718709212</v>
      </c>
      <c r="HG30" s="583">
        <v>3.0015035665741099</v>
      </c>
      <c r="HH30" s="1138">
        <v>1108.9995373061399</v>
      </c>
      <c r="HI30" s="173">
        <f t="shared" si="9"/>
        <v>6.1390892369672656E-12</v>
      </c>
      <c r="HK30" s="169" t="s">
        <v>552</v>
      </c>
      <c r="HL30" s="704">
        <v>1002.244227</v>
      </c>
      <c r="HM30" s="704">
        <v>3879.8165549999999</v>
      </c>
      <c r="HN30" s="776">
        <f t="shared" si="10"/>
        <v>3.8711288630849854</v>
      </c>
      <c r="HO30" s="703">
        <v>1005.1231073845202</v>
      </c>
      <c r="HP30" s="704">
        <v>3950.3874794130138</v>
      </c>
      <c r="HQ30" s="776">
        <f t="shared" si="11"/>
        <v>3.930252374450439</v>
      </c>
      <c r="HR30" s="1138">
        <v>1025.1025502632799</v>
      </c>
      <c r="HS30" s="1138">
        <v>4183.7370646080699</v>
      </c>
      <c r="HT30" s="784">
        <f t="shared" si="12"/>
        <v>4.0812863684063112</v>
      </c>
      <c r="HV30" s="169" t="s">
        <v>552</v>
      </c>
      <c r="HW30" s="172">
        <v>10.263303000000001</v>
      </c>
      <c r="HX30" s="337">
        <v>57.055717000000001</v>
      </c>
      <c r="HY30" s="787">
        <f t="shared" si="13"/>
        <v>5.5591963912592268</v>
      </c>
      <c r="HZ30" s="704">
        <v>983.755404</v>
      </c>
      <c r="IA30" s="704">
        <v>3789.8587550000002</v>
      </c>
      <c r="IB30" s="787">
        <f t="shared" si="14"/>
        <v>3.8524400878411846</v>
      </c>
      <c r="IC30" s="703">
        <v>4.0288336773273299</v>
      </c>
      <c r="ID30" s="704">
        <v>24.173002063963981</v>
      </c>
      <c r="IE30" s="787">
        <f t="shared" si="15"/>
        <v>6</v>
      </c>
      <c r="IF30" s="704">
        <v>997.10540963532185</v>
      </c>
      <c r="IG30" s="704">
        <v>3906.2701569896944</v>
      </c>
      <c r="IH30" s="776">
        <f t="shared" si="16"/>
        <v>3.9176100332444905</v>
      </c>
      <c r="II30" s="1137">
        <v>3.0015035665741099</v>
      </c>
      <c r="IJ30" s="1138">
        <v>18.009021399444698</v>
      </c>
      <c r="IK30" s="1170">
        <f t="shared" si="17"/>
        <v>6.0000000000000133</v>
      </c>
      <c r="IL30" s="1138">
        <v>1022.10104669671</v>
      </c>
      <c r="IM30" s="1138">
        <v>4165.72804320863</v>
      </c>
      <c r="IN30" s="1171">
        <f t="shared" si="18"/>
        <v>4.0756518708905443</v>
      </c>
      <c r="IP30" s="169" t="s">
        <v>552</v>
      </c>
      <c r="IQ30" s="703">
        <v>11.901849</v>
      </c>
      <c r="IR30" s="704">
        <v>73.560720000000003</v>
      </c>
      <c r="IS30" s="704">
        <v>187.723151</v>
      </c>
      <c r="IT30" s="704">
        <v>507.15582699999999</v>
      </c>
      <c r="IU30" s="704">
        <v>221.902681</v>
      </c>
      <c r="IV30" s="704">
        <v>3879.8165549999999</v>
      </c>
      <c r="IW30" s="703">
        <v>11.71229267820048</v>
      </c>
      <c r="IX30" s="704">
        <v>71.995605719410904</v>
      </c>
      <c r="IY30" s="704">
        <v>179.05244232256084</v>
      </c>
      <c r="IZ30" s="704">
        <v>494.53167114153968</v>
      </c>
      <c r="JA30" s="704">
        <v>247.83109552280831</v>
      </c>
      <c r="JB30" s="173">
        <v>3950.3874794130138</v>
      </c>
      <c r="JC30" s="1137">
        <v>10.2712659551051</v>
      </c>
      <c r="JD30" s="1138">
        <v>40.386654807481897</v>
      </c>
      <c r="JE30" s="1138">
        <v>206.43494175529199</v>
      </c>
      <c r="JF30" s="1138">
        <v>408.33936579399801</v>
      </c>
      <c r="JG30" s="1138">
        <v>359.670321951402</v>
      </c>
      <c r="JH30" s="1139">
        <v>4183.7370646080699</v>
      </c>
      <c r="JJ30" s="169" t="s">
        <v>552</v>
      </c>
      <c r="JK30" s="172">
        <v>10.263303000000001</v>
      </c>
      <c r="JL30" s="337">
        <v>115.96684900000002</v>
      </c>
      <c r="JM30" s="337">
        <v>872.12558300000001</v>
      </c>
      <c r="JN30" s="173">
        <v>3.888493</v>
      </c>
      <c r="JO30" s="703">
        <v>16.11272872944771</v>
      </c>
      <c r="JP30" s="704">
        <v>86.939830259519681</v>
      </c>
      <c r="JQ30" s="704">
        <v>898.04171471822553</v>
      </c>
      <c r="JR30" s="173">
        <v>4.0288336773273299</v>
      </c>
      <c r="JS30" s="1137">
        <v>9.8333106799675907</v>
      </c>
      <c r="JT30" s="1138">
        <v>158.21423646635697</v>
      </c>
      <c r="JU30" s="1138">
        <v>849.60482281589304</v>
      </c>
      <c r="JV30" s="1139">
        <v>7.4501803010629599</v>
      </c>
      <c r="JX30" s="169" t="s">
        <v>552</v>
      </c>
      <c r="JY30" s="703">
        <v>127.216572283006</v>
      </c>
      <c r="JZ30" s="704">
        <v>294.76924818924499</v>
      </c>
      <c r="KA30" s="704">
        <v>225.82118618532499</v>
      </c>
      <c r="KB30" s="173">
        <v>377.29554360570302</v>
      </c>
      <c r="KC30" s="603"/>
      <c r="KD30" s="169" t="s">
        <v>552</v>
      </c>
      <c r="KE30" s="703">
        <v>4.44867673448885</v>
      </c>
      <c r="KF30" s="704">
        <v>45.398061595794204</v>
      </c>
      <c r="KG30" s="704">
        <v>711.21094037160901</v>
      </c>
      <c r="KH30" s="704">
        <v>178.28431001273501</v>
      </c>
      <c r="KI30" s="704">
        <v>17.9900258170047</v>
      </c>
      <c r="KJ30" s="173">
        <v>61.329573323362098</v>
      </c>
      <c r="KK30" s="703">
        <v>0</v>
      </c>
      <c r="KL30" s="704">
        <v>3.0015035665741099</v>
      </c>
      <c r="KM30" s="704">
        <v>0</v>
      </c>
      <c r="KN30" s="704">
        <v>0</v>
      </c>
      <c r="KO30" s="704">
        <v>0</v>
      </c>
      <c r="KP30" s="173">
        <v>0</v>
      </c>
      <c r="KQ30" s="703">
        <v>4.44867673448885</v>
      </c>
      <c r="KR30" s="704">
        <v>48.399565162368297</v>
      </c>
      <c r="KS30" s="704">
        <v>711.21094037160901</v>
      </c>
      <c r="KT30" s="704">
        <v>178.28431001273501</v>
      </c>
      <c r="KU30" s="704">
        <v>17.9900258170047</v>
      </c>
      <c r="KV30" s="173">
        <v>61.329573323362098</v>
      </c>
      <c r="KW30" s="429"/>
      <c r="KX30" s="169" t="s">
        <v>552</v>
      </c>
      <c r="KY30" s="172">
        <f t="shared" si="19"/>
        <v>239.50837300000001</v>
      </c>
      <c r="KZ30" s="337">
        <v>611.54406100000006</v>
      </c>
      <c r="LA30" s="173">
        <v>151.19179299999999</v>
      </c>
      <c r="LB30" s="172">
        <f t="shared" si="3"/>
        <v>302.78986453869356</v>
      </c>
      <c r="LC30" s="704">
        <v>574.55827325190251</v>
      </c>
      <c r="LD30" s="173">
        <v>127.77496959392406</v>
      </c>
      <c r="LE30" s="172">
        <f t="shared" si="4"/>
        <v>245.31858864195488</v>
      </c>
      <c r="LF30" s="1138">
        <v>580.16708077647104</v>
      </c>
      <c r="LG30" s="1139">
        <v>199.61688084485399</v>
      </c>
      <c r="LH30" s="426"/>
      <c r="LI30" s="169" t="s">
        <v>552</v>
      </c>
      <c r="LJ30" s="703">
        <v>924.87732900000003</v>
      </c>
      <c r="LK30" s="704">
        <v>729.36267399999997</v>
      </c>
      <c r="LL30" s="704">
        <v>195.514655</v>
      </c>
      <c r="LM30" s="704">
        <v>143.573241</v>
      </c>
      <c r="LN30" s="704">
        <v>122.452136</v>
      </c>
      <c r="LO30" s="173">
        <v>158.352721</v>
      </c>
      <c r="LP30" s="703">
        <v>986.19503889296561</v>
      </c>
      <c r="LQ30" s="704">
        <v>650.30583063031406</v>
      </c>
      <c r="LR30" s="704">
        <v>335.88920826265161</v>
      </c>
      <c r="LS30" s="704">
        <v>155.53836419407224</v>
      </c>
      <c r="LT30" s="704">
        <v>67.428840123525958</v>
      </c>
      <c r="LU30" s="173">
        <v>207.37124138396803</v>
      </c>
      <c r="LV30" s="1137">
        <v>1107.9899519865201</v>
      </c>
      <c r="LW30" s="1138">
        <v>791.07957631538</v>
      </c>
      <c r="LX30" s="1138">
        <v>316.91037567114302</v>
      </c>
      <c r="LY30" s="1138">
        <v>269.76146889182297</v>
      </c>
      <c r="LZ30" s="1138">
        <v>30.549868779603202</v>
      </c>
      <c r="MA30" s="1139">
        <v>224.11102333807401</v>
      </c>
      <c r="MC30" s="169" t="s">
        <v>552</v>
      </c>
      <c r="MD30" s="703">
        <v>0</v>
      </c>
      <c r="ME30" s="704">
        <v>11.665478</v>
      </c>
      <c r="MF30" s="704">
        <v>27.708839999999999</v>
      </c>
      <c r="MG30" s="704">
        <v>136.18881200000001</v>
      </c>
      <c r="MH30" s="704">
        <v>313.762743</v>
      </c>
      <c r="MI30" s="173">
        <v>240.0368</v>
      </c>
      <c r="MJ30" s="703">
        <v>0</v>
      </c>
      <c r="MK30" s="704">
        <v>44.086956900008722</v>
      </c>
      <c r="ML30" s="704">
        <v>23.594118381342721</v>
      </c>
      <c r="MM30" s="704">
        <v>83.514300388828502</v>
      </c>
      <c r="MN30" s="704">
        <v>307.61206877270808</v>
      </c>
      <c r="MO30" s="173">
        <v>191.49838618742609</v>
      </c>
      <c r="MP30" s="1137">
        <v>0</v>
      </c>
      <c r="MQ30" s="1138">
        <v>35.199257528392501</v>
      </c>
      <c r="MR30" s="1138">
        <v>14.458608430624301</v>
      </c>
      <c r="MS30" s="1138">
        <v>126.52473547630299</v>
      </c>
      <c r="MT30" s="1138">
        <v>351.71905000421498</v>
      </c>
      <c r="MU30" s="1139">
        <v>263.17792487584501</v>
      </c>
      <c r="MW30" s="169" t="s">
        <v>552</v>
      </c>
      <c r="MX30" s="172">
        <v>733.05943300000001</v>
      </c>
      <c r="MY30" s="337">
        <v>705.35891400000003</v>
      </c>
      <c r="MZ30" s="337">
        <v>27.700517999999999</v>
      </c>
      <c r="NA30" s="703">
        <v>654.20992818971422</v>
      </c>
      <c r="NB30" s="704">
        <v>598.25202470855595</v>
      </c>
      <c r="NC30" s="173">
        <v>55.957903481158318</v>
      </c>
      <c r="ND30" s="1137">
        <v>804.95552033865295</v>
      </c>
      <c r="NE30" s="1138">
        <v>756.02198272842895</v>
      </c>
      <c r="NF30" s="1139">
        <v>48.933537610224199</v>
      </c>
      <c r="NH30" s="169" t="s">
        <v>552</v>
      </c>
      <c r="NI30" s="703">
        <v>478.27510455101191</v>
      </c>
      <c r="NJ30" s="173">
        <v>119.97692015754403</v>
      </c>
      <c r="NK30" s="703">
        <v>39.928559803195917</v>
      </c>
      <c r="NL30" s="704">
        <v>16.029343677962402</v>
      </c>
      <c r="NM30" s="173">
        <v>0</v>
      </c>
      <c r="NN30" s="1137">
        <v>450.02327943299503</v>
      </c>
      <c r="NO30" s="1139">
        <v>305.99870329543313</v>
      </c>
      <c r="NP30" s="1137">
        <v>44.366752219309099</v>
      </c>
      <c r="NQ30" s="1138">
        <v>4.5667853909151104</v>
      </c>
      <c r="NR30" s="1139">
        <v>0</v>
      </c>
      <c r="NS30" s="136"/>
      <c r="NT30" s="169" t="s">
        <v>552</v>
      </c>
      <c r="NU30" s="703">
        <v>71.976368037128083</v>
      </c>
      <c r="NV30" s="704">
        <v>19.90296929291334</v>
      </c>
      <c r="NW30" s="704">
        <v>7.9994358667565901</v>
      </c>
      <c r="NX30" s="173">
        <v>20.098146960746021</v>
      </c>
      <c r="NY30" s="1137">
        <v>168.08810077207599</v>
      </c>
      <c r="NZ30" s="1138">
        <v>69.449488773010302</v>
      </c>
      <c r="OA30" s="1138">
        <v>24.029101321951799</v>
      </c>
      <c r="OB30" s="1139">
        <v>44.432012428394998</v>
      </c>
      <c r="OC30" s="553"/>
      <c r="OD30" s="169" t="s">
        <v>552</v>
      </c>
      <c r="OE30" s="703">
        <v>179.794531309018</v>
      </c>
      <c r="OF30" s="704">
        <v>281.998865594444</v>
      </c>
      <c r="OG30" s="704">
        <v>209.14737564339899</v>
      </c>
      <c r="OH30" s="704">
        <v>133.06742599220999</v>
      </c>
      <c r="OI30" s="704">
        <v>197.71227963972299</v>
      </c>
      <c r="OJ30" s="704">
        <v>29.4361792553733</v>
      </c>
      <c r="OK30" s="173">
        <v>47.773313099918902</v>
      </c>
      <c r="OL30" s="703">
        <v>224.72355959611701</v>
      </c>
      <c r="OM30" s="704">
        <v>302.94569964785597</v>
      </c>
      <c r="ON30" s="704">
        <v>226.551390520718</v>
      </c>
      <c r="OO30" s="704">
        <v>136.483329548906</v>
      </c>
      <c r="OP30" s="704">
        <v>356.73665279604398</v>
      </c>
      <c r="OQ30" s="704">
        <v>144.45886348867199</v>
      </c>
      <c r="OR30" s="173">
        <v>1343.97290536378</v>
      </c>
      <c r="OT30" s="169" t="s">
        <v>552</v>
      </c>
      <c r="OU30" s="172">
        <v>704.11789399999998</v>
      </c>
      <c r="OV30" s="337">
        <v>373.09678600000001</v>
      </c>
      <c r="OW30" s="337">
        <v>218.72303199999999</v>
      </c>
      <c r="OX30" s="173">
        <v>231.73533700000002</v>
      </c>
      <c r="OY30" s="703">
        <v>722.28396380702361</v>
      </c>
      <c r="OZ30" s="704">
        <v>419.53249557350273</v>
      </c>
      <c r="PA30" s="704">
        <v>266.76811469589825</v>
      </c>
      <c r="PB30" s="173">
        <v>182.78955693671284</v>
      </c>
      <c r="PC30" s="1137">
        <v>522.00716436512948</v>
      </c>
      <c r="PD30" s="1138">
        <v>437.73442263816798</v>
      </c>
      <c r="PE30" s="1138">
        <v>241.30227730110201</v>
      </c>
      <c r="PF30" s="1139">
        <v>372.61868890578057</v>
      </c>
      <c r="PH30" s="169" t="s">
        <v>552</v>
      </c>
      <c r="PI30" s="703">
        <v>204.37254976846319</v>
      </c>
      <c r="PJ30" s="704">
        <v>223.14932221158799</v>
      </c>
      <c r="PK30" s="704">
        <v>92.443879401466603</v>
      </c>
      <c r="PL30" s="173">
        <v>143.50487357878379</v>
      </c>
      <c r="PM30" s="703">
        <v>317.63461459666729</v>
      </c>
      <c r="PN30" s="704">
        <v>214.58510042658</v>
      </c>
      <c r="PO30" s="704">
        <v>148.858397899636</v>
      </c>
      <c r="PP30" s="173">
        <v>229.1138153269969</v>
      </c>
      <c r="PQ30" s="65"/>
      <c r="PR30" s="169" t="s">
        <v>552</v>
      </c>
      <c r="PS30" s="1038">
        <v>0</v>
      </c>
      <c r="PT30" s="1039">
        <v>30.101094516364</v>
      </c>
      <c r="PU30" s="1039">
        <v>12.3132570256744</v>
      </c>
      <c r="PV30" s="1039">
        <v>3.4394588417116601</v>
      </c>
      <c r="PW30" s="1039">
        <v>471.63903634318302</v>
      </c>
      <c r="PX30" s="1040">
        <v>287.46267361171903</v>
      </c>
      <c r="PZ30" s="169" t="s">
        <v>552</v>
      </c>
      <c r="QA30" s="1038">
        <v>516.57808421536299</v>
      </c>
      <c r="QB30" s="1039">
        <v>288.37743612329001</v>
      </c>
      <c r="QC30" s="1039">
        <v>242.65361711411899</v>
      </c>
      <c r="QD30" s="1039">
        <v>14.855665271958699</v>
      </c>
      <c r="QE30" s="1039">
        <v>27.428694895500598</v>
      </c>
      <c r="QF30" s="1040">
        <v>3.4394588417116601</v>
      </c>
    </row>
    <row r="31" spans="1:448" ht="33" customHeight="1">
      <c r="A31" s="591" t="s">
        <v>496</v>
      </c>
      <c r="B31" s="167" t="s">
        <v>553</v>
      </c>
      <c r="C31" s="1105">
        <v>2695.3240689999998</v>
      </c>
      <c r="D31" s="1106">
        <v>2414.7915990782731</v>
      </c>
      <c r="E31" s="1107">
        <v>2467.1021189100202</v>
      </c>
      <c r="F31" s="428"/>
      <c r="G31" s="169" t="s">
        <v>553</v>
      </c>
      <c r="H31" s="577">
        <f t="shared" si="5"/>
        <v>-2.174126749651295E-2</v>
      </c>
      <c r="I31" s="668">
        <f t="shared" si="6"/>
        <v>4.2954474311718283E-3</v>
      </c>
      <c r="J31" s="612"/>
      <c r="K31" s="63"/>
      <c r="L31" s="167" t="s">
        <v>553</v>
      </c>
      <c r="M31" s="636">
        <v>15</v>
      </c>
      <c r="N31" s="637">
        <v>19</v>
      </c>
      <c r="O31" s="637">
        <v>14</v>
      </c>
      <c r="P31" s="637">
        <v>23</v>
      </c>
      <c r="Q31" s="637">
        <v>15</v>
      </c>
      <c r="R31" s="637">
        <v>28</v>
      </c>
      <c r="S31" s="637">
        <v>32</v>
      </c>
      <c r="T31" s="637">
        <v>26</v>
      </c>
      <c r="U31" s="1138">
        <v>25</v>
      </c>
      <c r="V31" s="1138">
        <v>20</v>
      </c>
      <c r="W31" s="1139">
        <v>34</v>
      </c>
      <c r="X31" s="169" t="s">
        <v>553</v>
      </c>
      <c r="Y31" s="666">
        <v>17</v>
      </c>
      <c r="Z31" s="667">
        <v>18.5</v>
      </c>
      <c r="AA31" s="667">
        <v>21.5</v>
      </c>
      <c r="AB31" s="667">
        <v>29</v>
      </c>
      <c r="AC31" s="667">
        <v>29</v>
      </c>
      <c r="AD31" s="668">
        <v>8.8235294117647065E-2</v>
      </c>
      <c r="AE31" s="668">
        <v>0.16216216216216217</v>
      </c>
      <c r="AF31" s="668">
        <v>0.34883720930232559</v>
      </c>
      <c r="AG31" s="1213">
        <v>0.16216216216216217</v>
      </c>
      <c r="AN31" s="169" t="s">
        <v>553</v>
      </c>
      <c r="AO31" s="636">
        <v>0</v>
      </c>
      <c r="AP31" s="637">
        <v>32.524191000000002</v>
      </c>
      <c r="AQ31" s="637">
        <v>321.33854200000002</v>
      </c>
      <c r="AR31" s="637">
        <v>380.10057699999999</v>
      </c>
      <c r="AS31" s="637">
        <v>394.22238499999997</v>
      </c>
      <c r="AT31" s="637">
        <v>167.60361499999999</v>
      </c>
      <c r="AU31" s="637">
        <v>622.32436800000005</v>
      </c>
      <c r="AV31" s="173">
        <v>540.21683299999995</v>
      </c>
      <c r="AW31" s="636">
        <v>5.4557994498015097</v>
      </c>
      <c r="AX31" s="637">
        <v>48.446852934567097</v>
      </c>
      <c r="AY31" s="637">
        <v>321.36401425062184</v>
      </c>
      <c r="AZ31" s="637">
        <v>383.18954996035683</v>
      </c>
      <c r="BA31" s="637">
        <v>275.86570684816633</v>
      </c>
      <c r="BB31" s="637">
        <v>110.59210128333751</v>
      </c>
      <c r="BC31" s="637">
        <v>560.15749316725066</v>
      </c>
      <c r="BD31" s="173">
        <v>438.29093502713192</v>
      </c>
      <c r="BE31" s="1137">
        <v>6.3517051660353401</v>
      </c>
      <c r="BF31" s="1138">
        <v>31.176084717093701</v>
      </c>
      <c r="BG31" s="1138">
        <v>361.502856735036</v>
      </c>
      <c r="BH31" s="1138">
        <v>299.34385109337097</v>
      </c>
      <c r="BI31" s="1138">
        <v>320.45428742877499</v>
      </c>
      <c r="BJ31" s="1138">
        <v>92.789648504269906</v>
      </c>
      <c r="BK31" s="1138">
        <v>659.86669622217005</v>
      </c>
      <c r="BL31" s="1139">
        <v>498.23584657307299</v>
      </c>
      <c r="BN31" s="169" t="s">
        <v>553</v>
      </c>
      <c r="BO31" s="647">
        <v>236.99355800000001</v>
      </c>
      <c r="BP31" s="648">
        <v>903.65318300000001</v>
      </c>
      <c r="BQ31" s="648">
        <v>475.296179</v>
      </c>
      <c r="BR31" s="648">
        <v>399.36027999999999</v>
      </c>
      <c r="BS31" s="648">
        <v>278.40346799999998</v>
      </c>
      <c r="BT31" s="173">
        <v>401.61740200000003</v>
      </c>
      <c r="BU31" s="647">
        <v>271.42914615703961</v>
      </c>
      <c r="BV31" s="648">
        <v>745.92452252667738</v>
      </c>
      <c r="BW31" s="648">
        <v>422.01661205089039</v>
      </c>
      <c r="BX31" s="648">
        <v>333.49679634285326</v>
      </c>
      <c r="BY31" s="648">
        <v>361.1813971100101</v>
      </c>
      <c r="BZ31" s="173">
        <v>280.74312489080262</v>
      </c>
      <c r="CA31" s="1137">
        <v>197.38114247019899</v>
      </c>
      <c r="CB31" s="1138">
        <v>894.51296975016203</v>
      </c>
      <c r="CC31" s="1138">
        <v>340.09598023891698</v>
      </c>
      <c r="CD31" s="1138">
        <v>279.03258696006401</v>
      </c>
      <c r="CE31" s="1138">
        <v>403.63126339182202</v>
      </c>
      <c r="CF31" s="1139">
        <v>352.44817609885899</v>
      </c>
      <c r="CG31" s="429"/>
      <c r="CH31" s="169" t="s">
        <v>553</v>
      </c>
      <c r="CI31" s="172">
        <v>496.86350199999998</v>
      </c>
      <c r="CJ31" s="337">
        <v>1647.0359530000001</v>
      </c>
      <c r="CK31" s="337">
        <v>551.42461500000002</v>
      </c>
      <c r="CL31" s="647">
        <v>476.85719281166217</v>
      </c>
      <c r="CM31" s="648">
        <v>1420.2895164874269</v>
      </c>
      <c r="CN31" s="648">
        <v>517.64488977918427</v>
      </c>
      <c r="CO31" s="1137">
        <v>456.57649098527497</v>
      </c>
      <c r="CP31" s="1138">
        <v>1355.0294049142201</v>
      </c>
      <c r="CQ31" s="1139">
        <v>655.49622301053205</v>
      </c>
      <c r="CR31" s="429"/>
      <c r="CT31" s="485" t="str">
        <f>CONCATENATE($CX30," Hommes")</f>
        <v>Paul Bert Hommes</v>
      </c>
      <c r="CU31" s="485" t="str">
        <f>CONCATENATE($DB$7," Femmes")</f>
        <v>Paul Bert Femmes</v>
      </c>
      <c r="CV31" s="485" t="str">
        <f>CONCATENATE($CZ30," Hommes")</f>
        <v>Tours nord Hommes</v>
      </c>
      <c r="CW31" s="485" t="str">
        <f>CONCATENATE($DD$7," Femmes")</f>
        <v>Tours nord Femmes</v>
      </c>
      <c r="CX31" s="400" t="str">
        <f>CONCATENATE($CX30," Hommes")</f>
        <v>Paul Bert Hommes</v>
      </c>
      <c r="CY31" s="400" t="str">
        <f>CONCATENATE($DB$7," Femmes")</f>
        <v>Paul Bert Femmes</v>
      </c>
      <c r="CZ31" s="400" t="str">
        <f>CONCATENATE($CZ30," Hommes")</f>
        <v>Tours nord Hommes</v>
      </c>
      <c r="DA31" s="400" t="str">
        <f>CONCATENATE($DD$7," Femmes")</f>
        <v>Tours nord Femmes</v>
      </c>
      <c r="DB31" s="426"/>
      <c r="DC31" s="426"/>
      <c r="DD31" s="426"/>
      <c r="DE31" s="426"/>
      <c r="DG31" s="169" t="s">
        <v>553</v>
      </c>
      <c r="DH31" s="1147" t="s">
        <v>747</v>
      </c>
      <c r="DI31" s="1150" t="s">
        <v>878</v>
      </c>
      <c r="DJ31" s="704" t="s">
        <v>879</v>
      </c>
      <c r="DK31" s="704" t="s">
        <v>880</v>
      </c>
      <c r="DL31" s="337" t="s">
        <v>881</v>
      </c>
      <c r="DM31" s="174" t="s">
        <v>882</v>
      </c>
      <c r="DO31" s="167" t="s">
        <v>553</v>
      </c>
      <c r="DP31" s="704">
        <v>1802.902345</v>
      </c>
      <c r="DQ31" s="337">
        <v>1616.5816737746454</v>
      </c>
      <c r="DR31" s="1139">
        <v>1773.54936378865</v>
      </c>
      <c r="DS31" s="63"/>
      <c r="DT31" s="169" t="s">
        <v>553</v>
      </c>
      <c r="DU31" s="172">
        <v>2693.3240719999999</v>
      </c>
      <c r="DV31" s="337">
        <v>2414.7915990782731</v>
      </c>
      <c r="DW31" s="1139">
        <v>2466.1021178946398</v>
      </c>
      <c r="DX31" s="63"/>
      <c r="DY31" s="169" t="s">
        <v>553</v>
      </c>
      <c r="DZ31" s="1089">
        <f t="shared" si="0"/>
        <v>1.4938823943900299</v>
      </c>
      <c r="EA31" s="787">
        <f t="shared" si="1"/>
        <v>1.4937640567456412</v>
      </c>
      <c r="EB31" s="776">
        <f t="shared" si="2"/>
        <v>1.3904896972399805</v>
      </c>
      <c r="EC31" s="55"/>
      <c r="ED31" s="541"/>
      <c r="EE31" s="169" t="s">
        <v>553</v>
      </c>
      <c r="EF31" s="735">
        <v>1212.958386</v>
      </c>
      <c r="EG31" s="736">
        <v>54.898758999999998</v>
      </c>
      <c r="EH31" s="736">
        <v>284.373377</v>
      </c>
      <c r="EI31" s="736">
        <v>157.880945</v>
      </c>
      <c r="EJ31" s="736">
        <v>92.790878000000006</v>
      </c>
      <c r="EK31" s="703">
        <v>1083.7531774456804</v>
      </c>
      <c r="EL31" s="704">
        <v>60.691650953102972</v>
      </c>
      <c r="EM31" s="704">
        <v>263.63397423100218</v>
      </c>
      <c r="EN31" s="704">
        <v>127.34481876138916</v>
      </c>
      <c r="EO31" s="704">
        <v>81.158052383470718</v>
      </c>
      <c r="EP31" s="1137">
        <v>1284.62786650115</v>
      </c>
      <c r="EQ31" s="1138">
        <v>43.642169013756401</v>
      </c>
      <c r="ER31" s="1138">
        <v>268.09241491011198</v>
      </c>
      <c r="ES31" s="1138">
        <v>93.346519334565102</v>
      </c>
      <c r="ET31" s="1139">
        <v>83.8403940290641</v>
      </c>
      <c r="EV31" s="169" t="s">
        <v>553</v>
      </c>
      <c r="EW31" s="703">
        <v>384.86811799999998</v>
      </c>
      <c r="EX31" s="704">
        <v>345.78436900000003</v>
      </c>
      <c r="EY31" s="704">
        <v>299.75719299999997</v>
      </c>
      <c r="EZ31" s="704">
        <v>182.54870500000001</v>
      </c>
      <c r="FA31" s="703">
        <v>663.68107099999997</v>
      </c>
      <c r="FB31" s="704">
        <v>949.51293099999998</v>
      </c>
      <c r="FC31" s="704">
        <v>549.69563800000003</v>
      </c>
      <c r="FD31" s="704">
        <v>293.44087300000001</v>
      </c>
      <c r="FE31" s="703">
        <v>354.44394015300469</v>
      </c>
      <c r="FF31" s="704">
        <v>317.84590493105702</v>
      </c>
      <c r="FG31" s="704">
        <v>277.19305461812473</v>
      </c>
      <c r="FH31" s="173">
        <v>134.27027774349401</v>
      </c>
      <c r="FI31" s="703">
        <v>559.91087934557595</v>
      </c>
      <c r="FJ31" s="704">
        <v>833.78047203187953</v>
      </c>
      <c r="FK31" s="746">
        <v>551.91553804778982</v>
      </c>
      <c r="FL31" s="747">
        <v>197.75556349598835</v>
      </c>
      <c r="FM31" s="1137">
        <v>475.97604536439798</v>
      </c>
      <c r="FN31" s="1138">
        <v>337.89257977331198</v>
      </c>
      <c r="FO31" s="1138">
        <v>256.91934969491399</v>
      </c>
      <c r="FP31" s="1139">
        <v>213.83989166852899</v>
      </c>
      <c r="FQ31" s="1137">
        <v>669.29699874912706</v>
      </c>
      <c r="FR31" s="1138">
        <v>749.28523546284396</v>
      </c>
      <c r="FS31" s="1138">
        <v>547.01573428233598</v>
      </c>
      <c r="FT31" s="1139">
        <v>303.123006930131</v>
      </c>
      <c r="FV31" s="167" t="s">
        <v>553</v>
      </c>
      <c r="FW31" s="337">
        <v>305.81846400000001</v>
      </c>
      <c r="FX31" s="337">
        <v>134.62661199999999</v>
      </c>
      <c r="FY31" s="337">
        <v>71.914124000000001</v>
      </c>
      <c r="FZ31" s="173">
        <v>22.685998999999999</v>
      </c>
      <c r="GA31" s="703">
        <v>278.38226666351039</v>
      </c>
      <c r="GB31" s="704">
        <v>97.648542357797083</v>
      </c>
      <c r="GC31" s="704">
        <v>71.266206939718458</v>
      </c>
      <c r="GD31" s="173">
        <v>24.839829414836139</v>
      </c>
      <c r="GE31" s="1137">
        <v>282.72355018056697</v>
      </c>
      <c r="GF31" s="1138">
        <v>76.712577195801501</v>
      </c>
      <c r="GG31" s="1138">
        <v>72.588109753808794</v>
      </c>
      <c r="GH31" s="1139">
        <v>13.255091143563501</v>
      </c>
      <c r="GJ31" s="169" t="s">
        <v>553</v>
      </c>
      <c r="GK31" s="703">
        <v>1969.9978000000001</v>
      </c>
      <c r="GL31" s="704">
        <v>1968.4987366198527</v>
      </c>
      <c r="GM31" s="1139">
        <v>2156.3977052704799</v>
      </c>
      <c r="GO31" s="169" t="s">
        <v>553</v>
      </c>
      <c r="GP31" s="703">
        <v>1802.902345</v>
      </c>
      <c r="GQ31" s="704">
        <v>38.363897000000001</v>
      </c>
      <c r="GR31" s="173">
        <v>128.73155800000001</v>
      </c>
      <c r="GS31" s="703">
        <v>1616.5816737746454</v>
      </c>
      <c r="GT31" s="704">
        <v>71.062986877115918</v>
      </c>
      <c r="GU31" s="173">
        <v>280.85407596809171</v>
      </c>
      <c r="GV31" s="1137">
        <v>1773.54936378865</v>
      </c>
      <c r="GW31" s="1138">
        <v>193.250140017532</v>
      </c>
      <c r="GX31" s="1139">
        <v>189.59820146430201</v>
      </c>
      <c r="GZ31" s="169" t="s">
        <v>553</v>
      </c>
      <c r="HA31" s="172">
        <v>182.08880099999999</v>
      </c>
      <c r="HB31" s="337">
        <v>1781.6844860000001</v>
      </c>
      <c r="HC31" s="173">
        <f t="shared" si="7"/>
        <v>6.2245130000001154</v>
      </c>
      <c r="HD31" s="703">
        <v>187.89880217440316</v>
      </c>
      <c r="HE31" s="704">
        <v>1772.1529598326626</v>
      </c>
      <c r="HF31" s="173">
        <f t="shared" si="8"/>
        <v>8.4469746127867893</v>
      </c>
      <c r="HG31" s="583">
        <v>172.917225336504</v>
      </c>
      <c r="HH31" s="1138">
        <v>1874.1851890446601</v>
      </c>
      <c r="HI31" s="173">
        <f t="shared" si="9"/>
        <v>109.29529088931577</v>
      </c>
      <c r="HK31" s="169" t="s">
        <v>553</v>
      </c>
      <c r="HL31" s="704">
        <v>1802.902345</v>
      </c>
      <c r="HM31" s="704">
        <v>4700.5491050000001</v>
      </c>
      <c r="HN31" s="776">
        <f t="shared" si="10"/>
        <v>2.6072122641784019</v>
      </c>
      <c r="HO31" s="703">
        <v>1616.5816737746454</v>
      </c>
      <c r="HP31" s="704">
        <v>4197.9494520131211</v>
      </c>
      <c r="HQ31" s="776">
        <f t="shared" si="11"/>
        <v>2.5968062858284777</v>
      </c>
      <c r="HR31" s="1138">
        <v>1773.54936378865</v>
      </c>
      <c r="HS31" s="1138">
        <v>4521.0771949062901</v>
      </c>
      <c r="HT31" s="784">
        <f t="shared" si="12"/>
        <v>2.5491690771145952</v>
      </c>
      <c r="HV31" s="169" t="s">
        <v>553</v>
      </c>
      <c r="HW31" s="172">
        <v>168.799699</v>
      </c>
      <c r="HX31" s="337">
        <v>937.27114300000005</v>
      </c>
      <c r="HY31" s="787">
        <f t="shared" si="13"/>
        <v>5.5525640658873447</v>
      </c>
      <c r="HZ31" s="704">
        <v>1627.8781320000001</v>
      </c>
      <c r="IA31" s="704">
        <v>3752.8738370000001</v>
      </c>
      <c r="IB31" s="787">
        <f t="shared" si="14"/>
        <v>2.3053776343744139</v>
      </c>
      <c r="IC31" s="703">
        <v>157.38876951721301</v>
      </c>
      <c r="ID31" s="704">
        <v>807.05444509331164</v>
      </c>
      <c r="IE31" s="787">
        <f t="shared" si="15"/>
        <v>5.1277765724259456</v>
      </c>
      <c r="IF31" s="704">
        <v>1450.7459296446452</v>
      </c>
      <c r="IG31" s="704">
        <v>3382.4480323070225</v>
      </c>
      <c r="IH31" s="776">
        <f t="shared" si="16"/>
        <v>2.3315233654562384</v>
      </c>
      <c r="II31" s="1137">
        <v>142.41121762470701</v>
      </c>
      <c r="IJ31" s="1138">
        <v>850.54353506823895</v>
      </c>
      <c r="IK31" s="1170">
        <f t="shared" si="17"/>
        <v>5.9724476010707015</v>
      </c>
      <c r="IL31" s="1138">
        <v>1629.17220681046</v>
      </c>
      <c r="IM31" s="1138">
        <v>3668.5677204845601</v>
      </c>
      <c r="IN31" s="1171">
        <f t="shared" si="18"/>
        <v>2.2517986159773509</v>
      </c>
      <c r="IP31" s="169" t="s">
        <v>553</v>
      </c>
      <c r="IQ31" s="703">
        <v>446.28460000000001</v>
      </c>
      <c r="IR31" s="704">
        <v>542.09893799999998</v>
      </c>
      <c r="IS31" s="704">
        <v>452.56622399999998</v>
      </c>
      <c r="IT31" s="704">
        <v>179.49448000000001</v>
      </c>
      <c r="IU31" s="704">
        <v>182.458102</v>
      </c>
      <c r="IV31" s="704">
        <v>4700.5491050000001</v>
      </c>
      <c r="IW31" s="703">
        <v>358.33974016515498</v>
      </c>
      <c r="IX31" s="704">
        <v>562.17804635699224</v>
      </c>
      <c r="IY31" s="704">
        <v>340.37958311753482</v>
      </c>
      <c r="IZ31" s="704">
        <v>169.07408708358307</v>
      </c>
      <c r="JA31" s="704">
        <v>186.61021705138043</v>
      </c>
      <c r="JB31" s="173">
        <v>4197.9494520131211</v>
      </c>
      <c r="JC31" s="1137">
        <v>519.39525678338703</v>
      </c>
      <c r="JD31" s="1138">
        <v>532.80220802378801</v>
      </c>
      <c r="JE31" s="1138">
        <v>294.373132595546</v>
      </c>
      <c r="JF31" s="1138">
        <v>255.70999155206201</v>
      </c>
      <c r="JG31" s="1138">
        <v>171.26877483386701</v>
      </c>
      <c r="JH31" s="1139">
        <v>4521.0771949062901</v>
      </c>
      <c r="JJ31" s="169" t="s">
        <v>553</v>
      </c>
      <c r="JK31" s="172">
        <v>404.67751800000002</v>
      </c>
      <c r="JL31" s="337">
        <v>869.08081799999991</v>
      </c>
      <c r="JM31" s="337">
        <v>511.453553</v>
      </c>
      <c r="JN31" s="173">
        <v>17.690456000000001</v>
      </c>
      <c r="JO31" s="703">
        <v>422.95525230912131</v>
      </c>
      <c r="JP31" s="704">
        <v>811.45345050447577</v>
      </c>
      <c r="JQ31" s="704">
        <v>359.52071454789694</v>
      </c>
      <c r="JR31" s="173">
        <v>22.652256413151651</v>
      </c>
      <c r="JS31" s="1137">
        <v>426.69491213291201</v>
      </c>
      <c r="JT31" s="1138">
        <v>1106.978458089133</v>
      </c>
      <c r="JU31" s="1138">
        <v>216.377669395987</v>
      </c>
      <c r="JV31" s="1139">
        <v>23.4983241706162</v>
      </c>
      <c r="JX31" s="169" t="s">
        <v>553</v>
      </c>
      <c r="JY31" s="703">
        <v>519.76842153812402</v>
      </c>
      <c r="JZ31" s="704">
        <v>579.03940622390803</v>
      </c>
      <c r="KA31" s="704">
        <v>248.651497211449</v>
      </c>
      <c r="KB31" s="173">
        <v>426.09003881516799</v>
      </c>
      <c r="KC31" s="603"/>
      <c r="KD31" s="169" t="s">
        <v>553</v>
      </c>
      <c r="KE31" s="703">
        <v>38.6578016637202</v>
      </c>
      <c r="KF31" s="704">
        <v>87.672748923045702</v>
      </c>
      <c r="KG31" s="704">
        <v>236.982855983013</v>
      </c>
      <c r="KH31" s="704">
        <v>841.52955359162502</v>
      </c>
      <c r="KI31" s="704">
        <v>344.19034430438398</v>
      </c>
      <c r="KJ31" s="173">
        <v>62.044353423291703</v>
      </c>
      <c r="KK31" s="703">
        <v>62.016330030891098</v>
      </c>
      <c r="KL31" s="704">
        <v>44.447726793199003</v>
      </c>
      <c r="KM31" s="704">
        <v>13.722182924935799</v>
      </c>
      <c r="KN31" s="704">
        <v>9.4003809257886406</v>
      </c>
      <c r="KO31" s="704">
        <v>6.6770648924683398</v>
      </c>
      <c r="KP31" s="173">
        <v>6.1475320574242804</v>
      </c>
      <c r="KQ31" s="703">
        <v>100.67413169461101</v>
      </c>
      <c r="KR31" s="704">
        <v>132.12047571624501</v>
      </c>
      <c r="KS31" s="704">
        <v>250.70503890794899</v>
      </c>
      <c r="KT31" s="704">
        <v>851.912904194156</v>
      </c>
      <c r="KU31" s="704">
        <v>351.85037887359402</v>
      </c>
      <c r="KV31" s="173">
        <v>68.191885480715996</v>
      </c>
      <c r="KW31" s="429"/>
      <c r="KX31" s="169" t="s">
        <v>553</v>
      </c>
      <c r="KY31" s="172">
        <f t="shared" si="19"/>
        <v>695.04667299999983</v>
      </c>
      <c r="KZ31" s="337">
        <v>970.59661200000005</v>
      </c>
      <c r="LA31" s="173">
        <v>137.25906000000001</v>
      </c>
      <c r="LB31" s="172">
        <f t="shared" si="3"/>
        <v>685.89412570299362</v>
      </c>
      <c r="LC31" s="704">
        <v>765.3035162514276</v>
      </c>
      <c r="LD31" s="173">
        <v>165.38403182022421</v>
      </c>
      <c r="LE31" s="172">
        <f t="shared" si="4"/>
        <v>788.13684239811505</v>
      </c>
      <c r="LF31" s="1138">
        <v>811.24867711815</v>
      </c>
      <c r="LG31" s="1139">
        <v>174.16384427238501</v>
      </c>
      <c r="LH31" s="426"/>
      <c r="LI31" s="169" t="s">
        <v>553</v>
      </c>
      <c r="LJ31" s="703">
        <v>1298.376796</v>
      </c>
      <c r="LK31" s="704">
        <v>1147.4258930000001</v>
      </c>
      <c r="LL31" s="704">
        <v>150.95090200000001</v>
      </c>
      <c r="LM31" s="704">
        <v>452.59284500000001</v>
      </c>
      <c r="LN31" s="704">
        <v>103.55821299999999</v>
      </c>
      <c r="LO31" s="173">
        <v>52.378042999999998</v>
      </c>
      <c r="LP31" s="703">
        <v>1133.3801405062272</v>
      </c>
      <c r="LQ31" s="704">
        <v>999.4156053391556</v>
      </c>
      <c r="LR31" s="704">
        <v>133.96453516707169</v>
      </c>
      <c r="LS31" s="704">
        <v>361.16168662850828</v>
      </c>
      <c r="LT31" s="704">
        <v>83.960220774200394</v>
      </c>
      <c r="LU31" s="173">
        <v>47.215515233113507</v>
      </c>
      <c r="LV31" s="1137">
        <v>1110.5697589184001</v>
      </c>
      <c r="LW31" s="1138">
        <v>951.03927178499396</v>
      </c>
      <c r="LX31" s="1138">
        <v>159.53048713340399</v>
      </c>
      <c r="LY31" s="1138">
        <v>407.99080388834301</v>
      </c>
      <c r="LZ31" s="1138">
        <v>54.766531356203998</v>
      </c>
      <c r="MA31" s="1139">
        <v>40.897659266346203</v>
      </c>
      <c r="MC31" s="169" t="s">
        <v>553</v>
      </c>
      <c r="MD31" s="703">
        <v>0</v>
      </c>
      <c r="ME31" s="704">
        <v>24.871876</v>
      </c>
      <c r="MF31" s="704">
        <v>314.14255400000002</v>
      </c>
      <c r="MG31" s="704">
        <v>339.91931699999998</v>
      </c>
      <c r="MH31" s="704">
        <v>337.21707099999998</v>
      </c>
      <c r="MI31" s="173">
        <v>131.27507600000001</v>
      </c>
      <c r="MJ31" s="703">
        <v>2.0252104320215798</v>
      </c>
      <c r="MK31" s="704">
        <v>45.050298404310197</v>
      </c>
      <c r="ML31" s="704">
        <v>300.55564068330312</v>
      </c>
      <c r="MM31" s="704">
        <v>348.90528271813844</v>
      </c>
      <c r="MN31" s="704">
        <v>216.40427028754056</v>
      </c>
      <c r="MO31" s="173">
        <v>86.474902813841595</v>
      </c>
      <c r="MP31" s="1137">
        <v>1.96593935348421</v>
      </c>
      <c r="MQ31" s="1138">
        <v>22.510137823114</v>
      </c>
      <c r="MR31" s="1138">
        <v>333.09403834749799</v>
      </c>
      <c r="MS31" s="1138">
        <v>265.97510602605001</v>
      </c>
      <c r="MT31" s="1138">
        <v>267.90093220493702</v>
      </c>
      <c r="MU31" s="1139">
        <v>59.593118029910201</v>
      </c>
      <c r="MW31" s="169" t="s">
        <v>553</v>
      </c>
      <c r="MX31" s="172">
        <v>1155.301334</v>
      </c>
      <c r="MY31" s="337">
        <v>1062.8227280000001</v>
      </c>
      <c r="MZ31" s="337">
        <v>92.478606999999997</v>
      </c>
      <c r="NA31" s="703">
        <v>1025.3154056029032</v>
      </c>
      <c r="NB31" s="704">
        <v>898.50658583722009</v>
      </c>
      <c r="NC31" s="173">
        <v>126.80881976568304</v>
      </c>
      <c r="ND31" s="1137">
        <v>968.28021428440104</v>
      </c>
      <c r="NE31" s="1138">
        <v>869.44926601826899</v>
      </c>
      <c r="NF31" s="1139">
        <v>98.830948266131699</v>
      </c>
      <c r="NH31" s="169" t="s">
        <v>553</v>
      </c>
      <c r="NI31" s="703">
        <v>718.30279356531628</v>
      </c>
      <c r="NJ31" s="173">
        <v>180.20379227190378</v>
      </c>
      <c r="NK31" s="703">
        <v>70.839817241002223</v>
      </c>
      <c r="NL31" s="704">
        <v>46.012246227824853</v>
      </c>
      <c r="NM31" s="173">
        <v>9.9567562968559908</v>
      </c>
      <c r="NN31" s="1137">
        <v>648.53602314383102</v>
      </c>
      <c r="NO31" s="1139">
        <v>220.9132428744382</v>
      </c>
      <c r="NP31" s="1137">
        <v>62.7865235441325</v>
      </c>
      <c r="NQ31" s="1138">
        <v>36.044424721999199</v>
      </c>
      <c r="NR31" s="1139">
        <v>0</v>
      </c>
      <c r="NS31" s="136"/>
      <c r="NT31" s="169" t="s">
        <v>553</v>
      </c>
      <c r="NU31" s="703">
        <v>101.4039737981488</v>
      </c>
      <c r="NV31" s="704">
        <v>8.87083830632724</v>
      </c>
      <c r="NW31" s="704">
        <v>7.7520191359679202</v>
      </c>
      <c r="NX31" s="173">
        <v>62.176961031459832</v>
      </c>
      <c r="NY31" s="1137">
        <v>120.742869329066</v>
      </c>
      <c r="NZ31" s="1138">
        <v>29.727960796365199</v>
      </c>
      <c r="OA31" s="1138">
        <v>0</v>
      </c>
      <c r="OB31" s="1139">
        <v>70.442412749007005</v>
      </c>
      <c r="OC31" s="553"/>
      <c r="OD31" s="169" t="s">
        <v>553</v>
      </c>
      <c r="OE31" s="703">
        <v>49.2113555903315</v>
      </c>
      <c r="OF31" s="704">
        <v>59.309231364520002</v>
      </c>
      <c r="OG31" s="704">
        <v>48.356909198697501</v>
      </c>
      <c r="OH31" s="704">
        <v>35.328556616584798</v>
      </c>
      <c r="OI31" s="704">
        <v>505.92241440787302</v>
      </c>
      <c r="OJ31" s="704">
        <v>61.618983117605502</v>
      </c>
      <c r="OK31" s="173">
        <v>33.587270907790597</v>
      </c>
      <c r="OL31" s="703">
        <v>60.912325870228202</v>
      </c>
      <c r="OM31" s="704">
        <v>59.309231364520002</v>
      </c>
      <c r="ON31" s="704">
        <v>48.356909198697501</v>
      </c>
      <c r="OO31" s="704">
        <v>35.328556616584798</v>
      </c>
      <c r="OP31" s="704">
        <v>633.96844213254201</v>
      </c>
      <c r="OQ31" s="704">
        <v>225.215971001035</v>
      </c>
      <c r="OR31" s="173">
        <v>1375.2080066896599</v>
      </c>
      <c r="OT31" s="169" t="s">
        <v>553</v>
      </c>
      <c r="OU31" s="172">
        <v>515.86278100000004</v>
      </c>
      <c r="OV31" s="337">
        <v>292.45822600000002</v>
      </c>
      <c r="OW31" s="337">
        <v>373.47946400000001</v>
      </c>
      <c r="OX31" s="173">
        <v>690.663276</v>
      </c>
      <c r="OY31" s="703">
        <v>312.87765238181152</v>
      </c>
      <c r="OZ31" s="704">
        <v>255.16669239267333</v>
      </c>
      <c r="PA31" s="704">
        <v>293.66177881832147</v>
      </c>
      <c r="PB31" s="173">
        <v>714.23505735951517</v>
      </c>
      <c r="PC31" s="1137">
        <v>237.53380522509133</v>
      </c>
      <c r="PD31" s="1138">
        <v>287.189264096849</v>
      </c>
      <c r="PE31" s="1138">
        <v>329.41113217035399</v>
      </c>
      <c r="PF31" s="1139">
        <v>779.12954989767491</v>
      </c>
      <c r="PH31" s="169" t="s">
        <v>553</v>
      </c>
      <c r="PI31" s="703">
        <v>61.681506875289202</v>
      </c>
      <c r="PJ31" s="704">
        <v>131.06655084949401</v>
      </c>
      <c r="PK31" s="704">
        <v>132.475125823204</v>
      </c>
      <c r="PL31" s="173">
        <v>336.40218048680197</v>
      </c>
      <c r="PM31" s="703">
        <v>175.8522983498014</v>
      </c>
      <c r="PN31" s="704">
        <v>156.12271324735499</v>
      </c>
      <c r="PO31" s="704">
        <v>196.93600634715</v>
      </c>
      <c r="PP31" s="173">
        <v>442.72736941087305</v>
      </c>
      <c r="PQ31" s="65"/>
      <c r="PR31" s="169" t="s">
        <v>553</v>
      </c>
      <c r="PS31" s="1038">
        <v>38.113045262540801</v>
      </c>
      <c r="PT31" s="1039">
        <v>227.29910216327201</v>
      </c>
      <c r="PU31" s="1039">
        <v>44.621648813314003</v>
      </c>
      <c r="PV31" s="1039">
        <v>13.1139571716269</v>
      </c>
      <c r="PW31" s="1039">
        <v>423.07615351816202</v>
      </c>
      <c r="PX31" s="1040">
        <v>222.05630735548499</v>
      </c>
      <c r="PZ31" s="169" t="s">
        <v>553</v>
      </c>
      <c r="QA31" s="1038">
        <v>562.08747281919</v>
      </c>
      <c r="QB31" s="1039">
        <v>406.19274146521099</v>
      </c>
      <c r="QC31" s="1039">
        <v>267.28889844548399</v>
      </c>
      <c r="QD31" s="1039">
        <v>60.310823744073303</v>
      </c>
      <c r="QE31" s="1039">
        <v>75.127978674748803</v>
      </c>
      <c r="QF31" s="1040">
        <v>3.4650406009050698</v>
      </c>
    </row>
    <row r="32" spans="1:448" ht="13.5" customHeight="1">
      <c r="A32" s="591" t="s">
        <v>497</v>
      </c>
      <c r="B32" s="167" t="s">
        <v>554</v>
      </c>
      <c r="C32" s="1103">
        <v>2180.6357899999998</v>
      </c>
      <c r="D32" s="690">
        <v>2333.9404266901684</v>
      </c>
      <c r="E32" s="691">
        <v>2080.24363732443</v>
      </c>
      <c r="F32" s="428"/>
      <c r="G32" s="169" t="s">
        <v>554</v>
      </c>
      <c r="H32" s="577">
        <f t="shared" si="5"/>
        <v>1.3681046280654252E-2</v>
      </c>
      <c r="I32" s="668">
        <f t="shared" si="6"/>
        <v>-2.2751782049841074E-2</v>
      </c>
      <c r="J32" s="612"/>
      <c r="K32" s="63"/>
      <c r="L32" s="167" t="s">
        <v>554</v>
      </c>
      <c r="M32" s="636">
        <v>31</v>
      </c>
      <c r="N32" s="637">
        <v>32</v>
      </c>
      <c r="O32" s="637">
        <v>24</v>
      </c>
      <c r="P32" s="637">
        <v>25</v>
      </c>
      <c r="Q32" s="637">
        <v>22</v>
      </c>
      <c r="R32" s="637">
        <v>11</v>
      </c>
      <c r="S32" s="637">
        <v>24</v>
      </c>
      <c r="T32" s="637">
        <v>10</v>
      </c>
      <c r="U32" s="1138">
        <v>15</v>
      </c>
      <c r="V32" s="1138">
        <v>14</v>
      </c>
      <c r="W32" s="1139">
        <v>17</v>
      </c>
      <c r="X32" s="169" t="s">
        <v>554</v>
      </c>
      <c r="Y32" s="666">
        <v>31.5</v>
      </c>
      <c r="Z32" s="667">
        <v>24.5</v>
      </c>
      <c r="AA32" s="667">
        <v>16.5</v>
      </c>
      <c r="AB32" s="667">
        <v>17</v>
      </c>
      <c r="AC32" s="667">
        <v>17</v>
      </c>
      <c r="AD32" s="668">
        <v>-0.22222222222222221</v>
      </c>
      <c r="AE32" s="668">
        <v>-0.32653061224489793</v>
      </c>
      <c r="AF32" s="668">
        <v>3.0303030303030304E-2</v>
      </c>
      <c r="AG32" s="1213">
        <v>-0.32653061224489793</v>
      </c>
      <c r="AN32" s="169" t="s">
        <v>554</v>
      </c>
      <c r="AO32" s="636">
        <v>0</v>
      </c>
      <c r="AP32" s="637">
        <v>59.704782999999999</v>
      </c>
      <c r="AQ32" s="637">
        <v>316.90649000000002</v>
      </c>
      <c r="AR32" s="637">
        <v>389.52325000000002</v>
      </c>
      <c r="AS32" s="637">
        <v>209.506047</v>
      </c>
      <c r="AT32" s="637">
        <v>105.934015</v>
      </c>
      <c r="AU32" s="637">
        <v>464.07010200000002</v>
      </c>
      <c r="AV32" s="173">
        <v>343.01495899999998</v>
      </c>
      <c r="AW32" s="636">
        <v>0</v>
      </c>
      <c r="AX32" s="637">
        <v>59.471090778787392</v>
      </c>
      <c r="AY32" s="637">
        <v>401.59170715294255</v>
      </c>
      <c r="AZ32" s="637">
        <v>383.52991829091081</v>
      </c>
      <c r="BA32" s="637">
        <v>192.30604638604103</v>
      </c>
      <c r="BB32" s="637">
        <v>82.86662320371471</v>
      </c>
      <c r="BC32" s="637">
        <v>516.7585602028372</v>
      </c>
      <c r="BD32" s="173">
        <v>286.77433509654441</v>
      </c>
      <c r="BE32" s="1137">
        <v>0</v>
      </c>
      <c r="BF32" s="1138">
        <v>32.292758786785903</v>
      </c>
      <c r="BG32" s="1138">
        <v>426.71618690183101</v>
      </c>
      <c r="BH32" s="1138">
        <v>357.39418914645898</v>
      </c>
      <c r="BI32" s="1138">
        <v>178.99128305740101</v>
      </c>
      <c r="BJ32" s="1138">
        <v>86.312531225544603</v>
      </c>
      <c r="BK32" s="1138">
        <v>482.47281567188799</v>
      </c>
      <c r="BL32" s="1139">
        <v>249.27819391200299</v>
      </c>
      <c r="BN32" s="169" t="s">
        <v>554</v>
      </c>
      <c r="BO32" s="647">
        <v>291.97614299999998</v>
      </c>
      <c r="BP32" s="648">
        <v>551.74897899999996</v>
      </c>
      <c r="BQ32" s="648">
        <v>462.88863500000002</v>
      </c>
      <c r="BR32" s="648">
        <v>375.39805200000001</v>
      </c>
      <c r="BS32" s="648">
        <v>259.14520800000003</v>
      </c>
      <c r="BT32" s="173">
        <v>239.47877299999999</v>
      </c>
      <c r="BU32" s="647">
        <v>410.6421455783904</v>
      </c>
      <c r="BV32" s="648">
        <v>424.71856481959378</v>
      </c>
      <c r="BW32" s="648">
        <v>499.35961097712521</v>
      </c>
      <c r="BX32" s="648">
        <v>422.07785834744459</v>
      </c>
      <c r="BY32" s="648">
        <v>319.33411998542971</v>
      </c>
      <c r="BZ32" s="173">
        <v>257.80812698218472</v>
      </c>
      <c r="CA32" s="1137">
        <v>266.785678622521</v>
      </c>
      <c r="CB32" s="1138">
        <v>378.30083131210398</v>
      </c>
      <c r="CC32" s="1138">
        <v>462.00778286226802</v>
      </c>
      <c r="CD32" s="1138">
        <v>420.24643217385602</v>
      </c>
      <c r="CE32" s="1138">
        <v>320.98313737750902</v>
      </c>
      <c r="CF32" s="1139">
        <v>231.919774976176</v>
      </c>
      <c r="CG32" s="429"/>
      <c r="CH32" s="169" t="s">
        <v>554</v>
      </c>
      <c r="CI32" s="172">
        <v>449.88799699999998</v>
      </c>
      <c r="CJ32" s="337">
        <v>1340.613824</v>
      </c>
      <c r="CK32" s="337">
        <v>390.13396899999998</v>
      </c>
      <c r="CL32" s="647">
        <v>530.65785150846807</v>
      </c>
      <c r="CM32" s="648">
        <v>1374.7985347696929</v>
      </c>
      <c r="CN32" s="648">
        <v>428.48404041200769</v>
      </c>
      <c r="CO32" s="1137">
        <v>389.54820989315198</v>
      </c>
      <c r="CP32" s="1138">
        <v>1229.75936847809</v>
      </c>
      <c r="CQ32" s="1139">
        <v>460.93605895319502</v>
      </c>
      <c r="CR32" s="429"/>
      <c r="CS32" s="231" t="s">
        <v>642</v>
      </c>
      <c r="CT32" s="1001">
        <v>-129.24629109984889</v>
      </c>
      <c r="CU32" s="1001">
        <v>-128.32938440740989</v>
      </c>
      <c r="CV32" s="1001">
        <v>-1012.3299472830737</v>
      </c>
      <c r="CW32" s="1001">
        <v>-1057.5410855973209</v>
      </c>
      <c r="CX32" s="1001">
        <v>-133.020315829353</v>
      </c>
      <c r="CY32" s="1001">
        <v>133.59829909375901</v>
      </c>
      <c r="CZ32" s="1001">
        <v>-1003.0865277145622</v>
      </c>
      <c r="DA32" s="1001">
        <v>927.43777416272974</v>
      </c>
      <c r="DB32" s="426"/>
      <c r="DC32" s="426"/>
      <c r="DD32" s="426"/>
      <c r="DE32" s="426"/>
      <c r="DG32" s="169" t="s">
        <v>554</v>
      </c>
      <c r="DH32" s="1147" t="s">
        <v>748</v>
      </c>
      <c r="DI32" s="1150" t="s">
        <v>746</v>
      </c>
      <c r="DJ32" s="704" t="s">
        <v>883</v>
      </c>
      <c r="DK32" s="704" t="s">
        <v>884</v>
      </c>
      <c r="DL32" s="337" t="s">
        <v>885</v>
      </c>
      <c r="DM32" s="174" t="s">
        <v>869</v>
      </c>
      <c r="DO32" s="167" t="s">
        <v>554</v>
      </c>
      <c r="DP32" s="704">
        <v>1175.3912319999999</v>
      </c>
      <c r="DQ32" s="337">
        <v>1150.8002323059084</v>
      </c>
      <c r="DR32" s="1139">
        <v>1144.9585151533199</v>
      </c>
      <c r="DS32" s="63"/>
      <c r="DT32" s="169" t="s">
        <v>554</v>
      </c>
      <c r="DU32" s="172">
        <v>2180.6357899999998</v>
      </c>
      <c r="DV32" s="337">
        <v>2333.9404266901684</v>
      </c>
      <c r="DW32" s="1139">
        <v>2080.24363732443</v>
      </c>
      <c r="DX32" s="63"/>
      <c r="DY32" s="169" t="s">
        <v>554</v>
      </c>
      <c r="DZ32" s="1089">
        <f t="shared" si="0"/>
        <v>1.8552425189436839</v>
      </c>
      <c r="EA32" s="787">
        <f t="shared" si="1"/>
        <v>2.0281021511557662</v>
      </c>
      <c r="EB32" s="776">
        <f t="shared" si="2"/>
        <v>1.8168724978178508</v>
      </c>
      <c r="EC32" s="55"/>
      <c r="ED32" s="541"/>
      <c r="EE32" s="169" t="s">
        <v>554</v>
      </c>
      <c r="EF32" s="735">
        <v>586.537781</v>
      </c>
      <c r="EG32" s="736">
        <v>50.678277000000001</v>
      </c>
      <c r="EH32" s="736">
        <v>294.92800199999999</v>
      </c>
      <c r="EI32" s="736">
        <v>197.64566300000001</v>
      </c>
      <c r="EJ32" s="736">
        <v>45.601509</v>
      </c>
      <c r="EK32" s="703">
        <v>473.78418113337318</v>
      </c>
      <c r="EL32" s="704">
        <v>27.58431172718393</v>
      </c>
      <c r="EM32" s="704">
        <v>340.40535784888579</v>
      </c>
      <c r="EN32" s="704">
        <v>240.68348861971603</v>
      </c>
      <c r="EO32" s="704">
        <v>68.342892976749525</v>
      </c>
      <c r="EP32" s="1137">
        <v>574.17138579455604</v>
      </c>
      <c r="EQ32" s="1138">
        <v>33.324275725889798</v>
      </c>
      <c r="ER32" s="1138">
        <v>306.22423119363998</v>
      </c>
      <c r="ES32" s="1138">
        <v>190.74407012512401</v>
      </c>
      <c r="ET32" s="1139">
        <v>40.494552314113903</v>
      </c>
      <c r="EV32" s="169" t="s">
        <v>554</v>
      </c>
      <c r="EW32" s="703">
        <v>98.683379000000002</v>
      </c>
      <c r="EX32" s="704">
        <v>242.52524399999999</v>
      </c>
      <c r="EY32" s="704">
        <v>189.133286</v>
      </c>
      <c r="EZ32" s="704">
        <v>56.195872999999999</v>
      </c>
      <c r="FA32" s="703">
        <v>365.13336800000002</v>
      </c>
      <c r="FB32" s="704">
        <v>879.20903399999997</v>
      </c>
      <c r="FC32" s="704">
        <v>497.33761600000003</v>
      </c>
      <c r="FD32" s="704">
        <v>146.97962899999999</v>
      </c>
      <c r="FE32" s="703">
        <v>81.494130431061848</v>
      </c>
      <c r="FF32" s="704">
        <v>178.24854616971166</v>
      </c>
      <c r="FG32" s="704">
        <v>142.53300022645433</v>
      </c>
      <c r="FH32" s="173">
        <v>71.508504306145355</v>
      </c>
      <c r="FI32" s="703">
        <v>300.64629949047753</v>
      </c>
      <c r="FJ32" s="704">
        <v>877.99206105978249</v>
      </c>
      <c r="FK32" s="746">
        <v>581.69024485133855</v>
      </c>
      <c r="FL32" s="747">
        <v>162.96967571017956</v>
      </c>
      <c r="FM32" s="1137">
        <v>83.343640873350196</v>
      </c>
      <c r="FN32" s="1138">
        <v>226.52684644383899</v>
      </c>
      <c r="FO32" s="1138">
        <v>183.69799517427401</v>
      </c>
      <c r="FP32" s="1139">
        <v>80.602903303092901</v>
      </c>
      <c r="FQ32" s="1137">
        <v>249.06097043380501</v>
      </c>
      <c r="FR32" s="1138">
        <v>876.11391880005397</v>
      </c>
      <c r="FS32" s="1138">
        <v>578.37976284643298</v>
      </c>
      <c r="FT32" s="1139">
        <v>109.90330662162</v>
      </c>
      <c r="FV32" s="167" t="s">
        <v>554</v>
      </c>
      <c r="FW32" s="337">
        <v>305.53914900000001</v>
      </c>
      <c r="FX32" s="337">
        <v>102.450543</v>
      </c>
      <c r="FY32" s="337">
        <v>88.793208000000007</v>
      </c>
      <c r="FZ32" s="173">
        <v>41.392274</v>
      </c>
      <c r="GA32" s="703">
        <v>356.20528974078496</v>
      </c>
      <c r="GB32" s="704">
        <v>126.65879150521886</v>
      </c>
      <c r="GC32" s="704">
        <v>111.32498408742509</v>
      </c>
      <c r="GD32" s="173">
        <v>59.238018764233452</v>
      </c>
      <c r="GE32" s="1137">
        <v>319.030899348216</v>
      </c>
      <c r="GF32" s="1138">
        <v>111.93428749575899</v>
      </c>
      <c r="GG32" s="1138">
        <v>80.464292658859407</v>
      </c>
      <c r="GH32" s="1139">
        <v>32.203171768768996</v>
      </c>
      <c r="GJ32" s="169" t="s">
        <v>554</v>
      </c>
      <c r="GK32" s="703">
        <v>1283.498566</v>
      </c>
      <c r="GL32" s="704">
        <v>1285.4991006342641</v>
      </c>
      <c r="GM32" s="1139">
        <v>1325.0011625725399</v>
      </c>
      <c r="GO32" s="169" t="s">
        <v>554</v>
      </c>
      <c r="GP32" s="703">
        <v>1175.3912319999999</v>
      </c>
      <c r="GQ32" s="704">
        <v>23.646899999999999</v>
      </c>
      <c r="GR32" s="173">
        <v>84.460434000000006</v>
      </c>
      <c r="GS32" s="703">
        <v>1150.8002323059084</v>
      </c>
      <c r="GT32" s="704">
        <v>27.763195823742322</v>
      </c>
      <c r="GU32" s="173">
        <v>106.93567250461317</v>
      </c>
      <c r="GV32" s="1137">
        <v>1144.9585151533199</v>
      </c>
      <c r="GW32" s="1138">
        <v>44.482401433385597</v>
      </c>
      <c r="GX32" s="1139">
        <v>135.56024598583301</v>
      </c>
      <c r="GZ32" s="169" t="s">
        <v>554</v>
      </c>
      <c r="HA32" s="172">
        <v>648.59070999999994</v>
      </c>
      <c r="HB32" s="337">
        <v>634.90785600000004</v>
      </c>
      <c r="HC32" s="173">
        <f t="shared" si="7"/>
        <v>0</v>
      </c>
      <c r="HD32" s="703">
        <v>758.06809418052615</v>
      </c>
      <c r="HE32" s="704">
        <v>519.37304545122038</v>
      </c>
      <c r="HF32" s="173">
        <f t="shared" si="8"/>
        <v>8.0579610025176862</v>
      </c>
      <c r="HG32" s="583">
        <v>569.92179235470701</v>
      </c>
      <c r="HH32" s="1138">
        <v>755.07937021783596</v>
      </c>
      <c r="HI32" s="173">
        <f t="shared" si="9"/>
        <v>-2.9558577807620168E-12</v>
      </c>
      <c r="HK32" s="169" t="s">
        <v>554</v>
      </c>
      <c r="HL32" s="704">
        <v>1175.3912319999999</v>
      </c>
      <c r="HM32" s="704">
        <v>4334.1406770000003</v>
      </c>
      <c r="HN32" s="776">
        <f t="shared" si="10"/>
        <v>3.6874025932839363</v>
      </c>
      <c r="HO32" s="703">
        <v>1150.8002323059084</v>
      </c>
      <c r="HP32" s="704">
        <v>4545.3290823321267</v>
      </c>
      <c r="HQ32" s="776">
        <f t="shared" si="11"/>
        <v>3.9497116482366827</v>
      </c>
      <c r="HR32" s="1138">
        <v>1144.9585151533199</v>
      </c>
      <c r="HS32" s="1138">
        <v>4177.0060968579801</v>
      </c>
      <c r="HT32" s="784">
        <f t="shared" si="12"/>
        <v>3.648172437320703</v>
      </c>
      <c r="HV32" s="169" t="s">
        <v>554</v>
      </c>
      <c r="HW32" s="172">
        <v>622.51065700000004</v>
      </c>
      <c r="HX32" s="337">
        <v>2964.0152429999998</v>
      </c>
      <c r="HY32" s="787">
        <f t="shared" si="13"/>
        <v>4.7613887564337709</v>
      </c>
      <c r="HZ32" s="704">
        <v>552.88057500000002</v>
      </c>
      <c r="IA32" s="704">
        <v>1370.125434</v>
      </c>
      <c r="IB32" s="787">
        <f t="shared" si="14"/>
        <v>2.4781580253565609</v>
      </c>
      <c r="IC32" s="703">
        <v>734.12612067053681</v>
      </c>
      <c r="ID32" s="704">
        <v>3567.6115008058136</v>
      </c>
      <c r="IE32" s="787">
        <f t="shared" si="15"/>
        <v>4.8596711114804432</v>
      </c>
      <c r="IF32" s="704">
        <v>408.61615063285421</v>
      </c>
      <c r="IG32" s="704">
        <v>965.63064002253725</v>
      </c>
      <c r="IH32" s="776">
        <f t="shared" si="16"/>
        <v>2.3631729644728758</v>
      </c>
      <c r="II32" s="1137">
        <v>528.00567970510201</v>
      </c>
      <c r="IJ32" s="1138">
        <v>2591.8639148429502</v>
      </c>
      <c r="IK32" s="1170">
        <f t="shared" si="17"/>
        <v>4.9087803682160001</v>
      </c>
      <c r="IL32" s="1138">
        <v>616.952835448222</v>
      </c>
      <c r="IM32" s="1138">
        <v>1585.1421820150199</v>
      </c>
      <c r="IN32" s="1171">
        <f t="shared" si="18"/>
        <v>2.5693085288495339</v>
      </c>
      <c r="IP32" s="169" t="s">
        <v>554</v>
      </c>
      <c r="IQ32" s="703">
        <v>86.706087999999994</v>
      </c>
      <c r="IR32" s="704">
        <v>257.93274200000002</v>
      </c>
      <c r="IS32" s="704">
        <v>277.33119499999998</v>
      </c>
      <c r="IT32" s="704">
        <v>222.83460400000001</v>
      </c>
      <c r="IU32" s="704">
        <v>330.58660300000003</v>
      </c>
      <c r="IV32" s="704">
        <v>4334.1406770000003</v>
      </c>
      <c r="IW32" s="703">
        <v>76.117722271080495</v>
      </c>
      <c r="IX32" s="704">
        <v>208.49793145923985</v>
      </c>
      <c r="IY32" s="704">
        <v>221.9098144447901</v>
      </c>
      <c r="IZ32" s="704">
        <v>258.94256939540554</v>
      </c>
      <c r="JA32" s="704">
        <v>385.33219473539242</v>
      </c>
      <c r="JB32" s="173">
        <v>4545.3290823321267</v>
      </c>
      <c r="JC32" s="1137">
        <v>58.126868968418698</v>
      </c>
      <c r="JD32" s="1138">
        <v>261.45191475538502</v>
      </c>
      <c r="JE32" s="1138">
        <v>308.948961936633</v>
      </c>
      <c r="JF32" s="1138">
        <v>197.85951407895499</v>
      </c>
      <c r="JG32" s="1138">
        <v>318.57125541393202</v>
      </c>
      <c r="JH32" s="1139">
        <v>4177.0060968579801</v>
      </c>
      <c r="JJ32" s="169" t="s">
        <v>554</v>
      </c>
      <c r="JK32" s="172">
        <v>682.23855800000001</v>
      </c>
      <c r="JL32" s="337">
        <v>451.118786</v>
      </c>
      <c r="JM32" s="337">
        <v>3.7371699999999999</v>
      </c>
      <c r="JN32" s="173">
        <v>38.296717999999998</v>
      </c>
      <c r="JO32" s="703">
        <v>766.08101939826201</v>
      </c>
      <c r="JP32" s="704">
        <v>367.75808724976838</v>
      </c>
      <c r="JQ32" s="704">
        <v>0</v>
      </c>
      <c r="JR32" s="173">
        <v>16.961125657878039</v>
      </c>
      <c r="JS32" s="1137">
        <v>683.25918798541295</v>
      </c>
      <c r="JT32" s="1138">
        <v>435.06605730543174</v>
      </c>
      <c r="JU32" s="1138">
        <v>3.31555925892027</v>
      </c>
      <c r="JV32" s="1139">
        <v>23.317710603559199</v>
      </c>
      <c r="JX32" s="169" t="s">
        <v>554</v>
      </c>
      <c r="JY32" s="703">
        <v>218.76026304967701</v>
      </c>
      <c r="JZ32" s="704">
        <v>256.16987724511898</v>
      </c>
      <c r="KA32" s="704">
        <v>159.67197413922599</v>
      </c>
      <c r="KB32" s="173">
        <v>510.35640071930197</v>
      </c>
      <c r="KC32" s="603"/>
      <c r="KD32" s="169" t="s">
        <v>554</v>
      </c>
      <c r="KE32" s="703">
        <v>16.580774020315499</v>
      </c>
      <c r="KF32" s="704">
        <v>65.278975959264301</v>
      </c>
      <c r="KG32" s="704">
        <v>199.88027241805</v>
      </c>
      <c r="KH32" s="704">
        <v>212.729977311401</v>
      </c>
      <c r="KI32" s="704">
        <v>111.283395999159</v>
      </c>
      <c r="KJ32" s="173">
        <v>10.2223873119662</v>
      </c>
      <c r="KK32" s="703">
        <v>172.517498277248</v>
      </c>
      <c r="KL32" s="704">
        <v>227.705240368613</v>
      </c>
      <c r="KM32" s="704">
        <v>92.805797949147305</v>
      </c>
      <c r="KN32" s="704">
        <v>13.410889906039101</v>
      </c>
      <c r="KO32" s="704">
        <v>16.706307727614298</v>
      </c>
      <c r="KP32" s="173">
        <v>2.90584062030671</v>
      </c>
      <c r="KQ32" s="703">
        <v>189.098272297563</v>
      </c>
      <c r="KR32" s="704">
        <v>292.98421632787699</v>
      </c>
      <c r="KS32" s="704">
        <v>292.68607036719698</v>
      </c>
      <c r="KT32" s="704">
        <v>226.14086721743999</v>
      </c>
      <c r="KU32" s="704">
        <v>127.989703726773</v>
      </c>
      <c r="KV32" s="173">
        <v>13.1282279322729</v>
      </c>
      <c r="KW32" s="429"/>
      <c r="KX32" s="169" t="s">
        <v>554</v>
      </c>
      <c r="KY32" s="172">
        <f t="shared" si="19"/>
        <v>246.10808899999995</v>
      </c>
      <c r="KZ32" s="337">
        <v>704.78277200000002</v>
      </c>
      <c r="LA32" s="173">
        <v>224.500371</v>
      </c>
      <c r="LB32" s="172">
        <f t="shared" si="3"/>
        <v>238.78146921620885</v>
      </c>
      <c r="LC32" s="704">
        <v>604.4327526715058</v>
      </c>
      <c r="LD32" s="173">
        <v>307.58601041819372</v>
      </c>
      <c r="LE32" s="172">
        <f t="shared" si="4"/>
        <v>244.19972307132696</v>
      </c>
      <c r="LF32" s="1138">
        <v>648.59601746012697</v>
      </c>
      <c r="LG32" s="1139">
        <v>252.16277462186599</v>
      </c>
      <c r="LH32" s="426"/>
      <c r="LI32" s="169" t="s">
        <v>554</v>
      </c>
      <c r="LJ32" s="703">
        <v>1085.3117549999999</v>
      </c>
      <c r="LK32" s="704">
        <v>993.39606300000003</v>
      </c>
      <c r="LL32" s="704">
        <v>91.915692000000007</v>
      </c>
      <c r="LM32" s="704">
        <v>248.99646799999999</v>
      </c>
      <c r="LN32" s="704">
        <v>95.874847000000003</v>
      </c>
      <c r="LO32" s="173">
        <v>68.342607999999998</v>
      </c>
      <c r="LP32" s="703">
        <v>1111.8983957769983</v>
      </c>
      <c r="LQ32" s="704">
        <v>1045.0428828366057</v>
      </c>
      <c r="LR32" s="704">
        <v>66.855512940392785</v>
      </c>
      <c r="LS32" s="704">
        <v>167.81345630273569</v>
      </c>
      <c r="LT32" s="704">
        <v>108.01937027937178</v>
      </c>
      <c r="LU32" s="173">
        <v>107.08301834066458</v>
      </c>
      <c r="LV32" s="1137">
        <v>1088.6154542812701</v>
      </c>
      <c r="LW32" s="1138">
        <v>1011.75813900331</v>
      </c>
      <c r="LX32" s="1138">
        <v>76.857315277954399</v>
      </c>
      <c r="LY32" s="1138">
        <v>174.25899625592101</v>
      </c>
      <c r="LZ32" s="1138">
        <v>44.614163483792701</v>
      </c>
      <c r="MA32" s="1139">
        <v>45.033285727738402</v>
      </c>
      <c r="MC32" s="169" t="s">
        <v>554</v>
      </c>
      <c r="MD32" s="703">
        <v>0</v>
      </c>
      <c r="ME32" s="704">
        <v>52.434229999999999</v>
      </c>
      <c r="MF32" s="704">
        <v>306.12111800000002</v>
      </c>
      <c r="MG32" s="704">
        <v>360.58913899999999</v>
      </c>
      <c r="MH32" s="704">
        <v>183.31849500000001</v>
      </c>
      <c r="MI32" s="173">
        <v>90.933080000000004</v>
      </c>
      <c r="MJ32" s="703">
        <v>0</v>
      </c>
      <c r="MK32" s="704">
        <v>55.515383491084719</v>
      </c>
      <c r="ML32" s="704">
        <v>397.56272665168387</v>
      </c>
      <c r="MM32" s="704">
        <v>348.24806021435217</v>
      </c>
      <c r="MN32" s="704">
        <v>168.67744194655975</v>
      </c>
      <c r="MO32" s="173">
        <v>75.039270532924974</v>
      </c>
      <c r="MP32" s="1137">
        <v>0</v>
      </c>
      <c r="MQ32" s="1138">
        <v>32.292758786785903</v>
      </c>
      <c r="MR32" s="1138">
        <v>416.74947885874099</v>
      </c>
      <c r="MS32" s="1138">
        <v>327.37519446455599</v>
      </c>
      <c r="MT32" s="1138">
        <v>155.78791678955201</v>
      </c>
      <c r="MU32" s="1139">
        <v>79.552790103675093</v>
      </c>
      <c r="MW32" s="169" t="s">
        <v>554</v>
      </c>
      <c r="MX32" s="172">
        <v>993.39606300000003</v>
      </c>
      <c r="MY32" s="337">
        <v>865.46586100000002</v>
      </c>
      <c r="MZ32" s="337">
        <v>127.930201</v>
      </c>
      <c r="NA32" s="703">
        <v>1056.9388533732624</v>
      </c>
      <c r="NB32" s="704">
        <v>909.8601264900152</v>
      </c>
      <c r="NC32" s="173">
        <v>147.07872688324716</v>
      </c>
      <c r="ND32" s="1137">
        <v>1014.81634188316</v>
      </c>
      <c r="NE32" s="1138">
        <v>883.636054210064</v>
      </c>
      <c r="NF32" s="1139">
        <v>131.18028767309301</v>
      </c>
      <c r="NH32" s="169" t="s">
        <v>554</v>
      </c>
      <c r="NI32" s="703">
        <v>790.93961240378997</v>
      </c>
      <c r="NJ32" s="173">
        <v>118.92051408622525</v>
      </c>
      <c r="NK32" s="703">
        <v>84.917391891654972</v>
      </c>
      <c r="NL32" s="704">
        <v>62.161334991592192</v>
      </c>
      <c r="NM32" s="173">
        <v>0</v>
      </c>
      <c r="NN32" s="1137">
        <v>723.27271533389398</v>
      </c>
      <c r="NO32" s="1139">
        <v>160.36333887616996</v>
      </c>
      <c r="NP32" s="1137">
        <v>87.968855150073793</v>
      </c>
      <c r="NQ32" s="1138">
        <v>43.211432523019297</v>
      </c>
      <c r="NR32" s="1139">
        <v>0</v>
      </c>
      <c r="NS32" s="136"/>
      <c r="NT32" s="169" t="s">
        <v>554</v>
      </c>
      <c r="NU32" s="703">
        <v>102.9598298785713</v>
      </c>
      <c r="NV32" s="704">
        <v>0</v>
      </c>
      <c r="NW32" s="704">
        <v>8.0062150700571095</v>
      </c>
      <c r="NX32" s="173">
        <v>7.9544691375968402</v>
      </c>
      <c r="NY32" s="1137">
        <v>120.47060625030601</v>
      </c>
      <c r="NZ32" s="1138">
        <v>16.535164943064</v>
      </c>
      <c r="OA32" s="1138">
        <v>3.44418186294926</v>
      </c>
      <c r="OB32" s="1139">
        <v>19.913385819850699</v>
      </c>
      <c r="OC32" s="553"/>
      <c r="OD32" s="169" t="s">
        <v>554</v>
      </c>
      <c r="OE32" s="703">
        <v>45.063360218828798</v>
      </c>
      <c r="OF32" s="704">
        <v>89.900204369289696</v>
      </c>
      <c r="OG32" s="704">
        <v>74.423973841479295</v>
      </c>
      <c r="OH32" s="704">
        <v>42.9670529294403</v>
      </c>
      <c r="OI32" s="704">
        <v>142.835870503444</v>
      </c>
      <c r="OJ32" s="704">
        <v>11.7880616949141</v>
      </c>
      <c r="OK32" s="173">
        <v>26.4504689705335</v>
      </c>
      <c r="OL32" s="703">
        <v>80.220836434794293</v>
      </c>
      <c r="OM32" s="704">
        <v>89.900204369289696</v>
      </c>
      <c r="ON32" s="704">
        <v>74.423973841479295</v>
      </c>
      <c r="OO32" s="704">
        <v>42.9670529294403</v>
      </c>
      <c r="OP32" s="704">
        <v>206.09391750436399</v>
      </c>
      <c r="OQ32" s="704">
        <v>129.239860878299</v>
      </c>
      <c r="OR32" s="173">
        <v>1435.1571273898101</v>
      </c>
      <c r="OT32" s="169" t="s">
        <v>554</v>
      </c>
      <c r="OU32" s="172">
        <v>313.14742899999999</v>
      </c>
      <c r="OV32" s="337">
        <v>261.42038500000001</v>
      </c>
      <c r="OW32" s="337">
        <v>234.65791400000001</v>
      </c>
      <c r="OX32" s="173">
        <v>734.54656399999999</v>
      </c>
      <c r="OY32" s="703">
        <v>245.34066895749285</v>
      </c>
      <c r="OZ32" s="704">
        <v>238.73203132902125</v>
      </c>
      <c r="PA32" s="704">
        <v>279.73409274825832</v>
      </c>
      <c r="PB32" s="173">
        <v>885.196719573005</v>
      </c>
      <c r="PC32" s="1137">
        <v>189.1754249958048</v>
      </c>
      <c r="PD32" s="1138">
        <v>234.711735628843</v>
      </c>
      <c r="PE32" s="1138">
        <v>209.52460720073699</v>
      </c>
      <c r="PF32" s="1139">
        <v>956.00473677819707</v>
      </c>
      <c r="PH32" s="169" t="s">
        <v>554</v>
      </c>
      <c r="PI32" s="703">
        <v>76.005453276603305</v>
      </c>
      <c r="PJ32" s="704">
        <v>107.985576174247</v>
      </c>
      <c r="PK32" s="704">
        <v>124.966664640251</v>
      </c>
      <c r="PL32" s="173">
        <v>441.53036574740497</v>
      </c>
      <c r="PM32" s="703">
        <v>113.16997171920119</v>
      </c>
      <c r="PN32" s="704">
        <v>126.726159454597</v>
      </c>
      <c r="PO32" s="704">
        <v>84.5579425604855</v>
      </c>
      <c r="PP32" s="173">
        <v>514.47437103079096</v>
      </c>
      <c r="PQ32" s="65"/>
      <c r="PR32" s="169" t="s">
        <v>554</v>
      </c>
      <c r="PS32" s="1038">
        <v>20.019203885253901</v>
      </c>
      <c r="PT32" s="1039">
        <v>162.628317401944</v>
      </c>
      <c r="PU32" s="1039">
        <v>112.566684419501</v>
      </c>
      <c r="PV32" s="1039">
        <v>3.31555925892027</v>
      </c>
      <c r="PW32" s="1039">
        <v>536.63458820271899</v>
      </c>
      <c r="PX32" s="1040">
        <v>179.651988714819</v>
      </c>
      <c r="PZ32" s="169" t="s">
        <v>554</v>
      </c>
      <c r="QA32" s="1038">
        <v>619.87283827506201</v>
      </c>
      <c r="QB32" s="1039">
        <v>394.94350360809602</v>
      </c>
      <c r="QC32" s="1039">
        <v>283.27065678293002</v>
      </c>
      <c r="QD32" s="1039">
        <v>42.055710397840897</v>
      </c>
      <c r="QE32" s="1039">
        <v>69.617136427324994</v>
      </c>
      <c r="QF32" s="1040">
        <v>0</v>
      </c>
    </row>
    <row r="33" spans="1:448" ht="13.5" customHeight="1">
      <c r="A33" s="591" t="s">
        <v>498</v>
      </c>
      <c r="B33" s="167" t="s">
        <v>555</v>
      </c>
      <c r="C33" s="1103">
        <v>2009.1519129999999</v>
      </c>
      <c r="D33" s="690">
        <v>2009.7483685342963</v>
      </c>
      <c r="E33" s="691">
        <v>2109.2145260201901</v>
      </c>
      <c r="F33" s="428"/>
      <c r="G33" s="169" t="s">
        <v>555</v>
      </c>
      <c r="H33" s="577">
        <f t="shared" si="5"/>
        <v>5.9366811968164512E-5</v>
      </c>
      <c r="I33" s="668">
        <f t="shared" si="6"/>
        <v>9.7080384638263961E-3</v>
      </c>
      <c r="J33" s="612"/>
      <c r="K33" s="63"/>
      <c r="L33" s="167" t="s">
        <v>555</v>
      </c>
      <c r="M33" s="636">
        <v>24</v>
      </c>
      <c r="N33" s="637">
        <v>21</v>
      </c>
      <c r="O33" s="637">
        <v>21</v>
      </c>
      <c r="P33" s="637">
        <v>22</v>
      </c>
      <c r="Q33" s="637">
        <v>22</v>
      </c>
      <c r="R33" s="637">
        <v>28</v>
      </c>
      <c r="S33" s="637">
        <v>18</v>
      </c>
      <c r="T33" s="637">
        <v>19</v>
      </c>
      <c r="U33" s="1138">
        <v>22</v>
      </c>
      <c r="V33" s="1138">
        <v>29</v>
      </c>
      <c r="W33" s="1139">
        <v>18</v>
      </c>
      <c r="X33" s="169" t="s">
        <v>555</v>
      </c>
      <c r="Y33" s="666">
        <v>22.5</v>
      </c>
      <c r="Z33" s="667">
        <v>21.5</v>
      </c>
      <c r="AA33" s="667">
        <v>25</v>
      </c>
      <c r="AB33" s="667">
        <v>18.5</v>
      </c>
      <c r="AC33" s="667">
        <v>18.5</v>
      </c>
      <c r="AD33" s="668">
        <v>-4.4444444444444446E-2</v>
      </c>
      <c r="AE33" s="668">
        <v>0.16279069767441862</v>
      </c>
      <c r="AF33" s="668">
        <v>-0.26</v>
      </c>
      <c r="AG33" s="1213">
        <v>0.16279069767441862</v>
      </c>
      <c r="AN33" s="169" t="s">
        <v>555</v>
      </c>
      <c r="AO33" s="636">
        <v>0</v>
      </c>
      <c r="AP33" s="637">
        <v>27.990158999999998</v>
      </c>
      <c r="AQ33" s="637">
        <v>155.84854200000001</v>
      </c>
      <c r="AR33" s="637">
        <v>287.21757700000001</v>
      </c>
      <c r="AS33" s="637">
        <v>260.349152</v>
      </c>
      <c r="AT33" s="637">
        <v>215.361043</v>
      </c>
      <c r="AU33" s="637">
        <v>594.80392300000005</v>
      </c>
      <c r="AV33" s="173">
        <v>212.84625700000001</v>
      </c>
      <c r="AW33" s="636">
        <v>0</v>
      </c>
      <c r="AX33" s="637">
        <v>28.098003998852651</v>
      </c>
      <c r="AY33" s="637">
        <v>169.46504543787128</v>
      </c>
      <c r="AZ33" s="637">
        <v>293.22858801332978</v>
      </c>
      <c r="BA33" s="637">
        <v>273.6148384234296</v>
      </c>
      <c r="BB33" s="637">
        <v>207.27520316421823</v>
      </c>
      <c r="BC33" s="637">
        <v>476.71268440093741</v>
      </c>
      <c r="BD33" s="173">
        <v>269.20521026832523</v>
      </c>
      <c r="BE33" s="1137">
        <v>0</v>
      </c>
      <c r="BF33" s="1138">
        <v>27.6555815412482</v>
      </c>
      <c r="BG33" s="1138">
        <v>234.108636356982</v>
      </c>
      <c r="BH33" s="1138">
        <v>321.21359856964801</v>
      </c>
      <c r="BI33" s="1138">
        <v>271.92019381991997</v>
      </c>
      <c r="BJ33" s="1138">
        <v>192.87212799365599</v>
      </c>
      <c r="BK33" s="1138">
        <v>472.02729521667499</v>
      </c>
      <c r="BL33" s="1139">
        <v>218.346913845134</v>
      </c>
      <c r="BN33" s="169" t="s">
        <v>555</v>
      </c>
      <c r="BO33" s="647">
        <v>256.73525799999999</v>
      </c>
      <c r="BP33" s="648">
        <v>417.95384200000001</v>
      </c>
      <c r="BQ33" s="648">
        <v>341.71970299999998</v>
      </c>
      <c r="BR33" s="648">
        <v>413.92683699999998</v>
      </c>
      <c r="BS33" s="648">
        <v>306.37168200000002</v>
      </c>
      <c r="BT33" s="173">
        <v>272.44459000000001</v>
      </c>
      <c r="BU33" s="647">
        <v>293.14879404581933</v>
      </c>
      <c r="BV33" s="648">
        <v>403.44449669534254</v>
      </c>
      <c r="BW33" s="648">
        <v>433.1345558180177</v>
      </c>
      <c r="BX33" s="648">
        <v>394.12761592244362</v>
      </c>
      <c r="BY33" s="648">
        <v>314.74489176818861</v>
      </c>
      <c r="BZ33" s="173">
        <v>171.14801428448447</v>
      </c>
      <c r="CA33" s="1137">
        <v>372.07017969231401</v>
      </c>
      <c r="CB33" s="1138">
        <v>312.57764200056198</v>
      </c>
      <c r="CC33" s="1138">
        <v>438.00143747626299</v>
      </c>
      <c r="CD33" s="1138">
        <v>471.00028868841201</v>
      </c>
      <c r="CE33" s="1138">
        <v>295.93709473694702</v>
      </c>
      <c r="CF33" s="1139">
        <v>219.627883425693</v>
      </c>
      <c r="CG33" s="429"/>
      <c r="CH33" s="169" t="s">
        <v>555</v>
      </c>
      <c r="CI33" s="172">
        <v>342.91675500000002</v>
      </c>
      <c r="CJ33" s="337">
        <v>1191.986283</v>
      </c>
      <c r="CK33" s="337">
        <v>474.248875</v>
      </c>
      <c r="CL33" s="647">
        <v>412.6234515564592</v>
      </c>
      <c r="CM33" s="648">
        <v>1267.0160987173981</v>
      </c>
      <c r="CN33" s="648">
        <v>330.10881826043908</v>
      </c>
      <c r="CO33" s="1137">
        <v>473.39743906563302</v>
      </c>
      <c r="CP33" s="1138">
        <v>1234.87761292</v>
      </c>
      <c r="CQ33" s="1139">
        <v>400.93947403455599</v>
      </c>
      <c r="CR33" s="429"/>
      <c r="CS33" s="232" t="s">
        <v>643</v>
      </c>
      <c r="CT33" s="1001">
        <v>-1270.0443922962638</v>
      </c>
      <c r="CU33" s="1001">
        <v>-953.20698189752682</v>
      </c>
      <c r="CV33" s="1003">
        <v>-2827.3799483496887</v>
      </c>
      <c r="CW33" s="1003">
        <v>-2518.643648539005</v>
      </c>
      <c r="CX33" s="1001">
        <v>-1152.07647201849</v>
      </c>
      <c r="CY33" s="1001">
        <v>1000.99755395562</v>
      </c>
      <c r="CZ33" s="1001">
        <v>-2749.1965940321734</v>
      </c>
      <c r="DA33" s="1004">
        <v>2634.0998759211129</v>
      </c>
      <c r="DB33" s="426"/>
      <c r="DC33" s="426"/>
      <c r="DD33" s="426"/>
      <c r="DE33" s="426"/>
      <c r="DG33" s="169" t="s">
        <v>555</v>
      </c>
      <c r="DH33" s="1147" t="s">
        <v>728</v>
      </c>
      <c r="DI33" s="1150" t="s">
        <v>886</v>
      </c>
      <c r="DJ33" s="704" t="s">
        <v>887</v>
      </c>
      <c r="DK33" s="704" t="s">
        <v>888</v>
      </c>
      <c r="DL33" s="337" t="s">
        <v>889</v>
      </c>
      <c r="DM33" s="174" t="s">
        <v>859</v>
      </c>
      <c r="DO33" s="167" t="s">
        <v>555</v>
      </c>
      <c r="DP33" s="704">
        <v>1094.1855129999999</v>
      </c>
      <c r="DQ33" s="337">
        <v>1063.3243780175769</v>
      </c>
      <c r="DR33" s="1139">
        <v>1055.1265874487999</v>
      </c>
      <c r="DS33" s="63"/>
      <c r="DT33" s="169" t="s">
        <v>555</v>
      </c>
      <c r="DU33" s="172">
        <v>1971.151959</v>
      </c>
      <c r="DV33" s="337">
        <v>1970.7483990132928</v>
      </c>
      <c r="DW33" s="1139">
        <v>2064.2144803278602</v>
      </c>
      <c r="DX33" s="63"/>
      <c r="DY33" s="169" t="s">
        <v>555</v>
      </c>
      <c r="DZ33" s="1089">
        <f t="shared" si="0"/>
        <v>1.8014787580175176</v>
      </c>
      <c r="EA33" s="787">
        <f t="shared" si="1"/>
        <v>1.8533840093908915</v>
      </c>
      <c r="EB33" s="776">
        <f t="shared" si="2"/>
        <v>1.9563666624295224</v>
      </c>
      <c r="EC33" s="55"/>
      <c r="ED33" s="541"/>
      <c r="EE33" s="169" t="s">
        <v>555</v>
      </c>
      <c r="EF33" s="735">
        <v>539.84205099999997</v>
      </c>
      <c r="EG33" s="736">
        <v>22.205928</v>
      </c>
      <c r="EH33" s="736">
        <v>312.57414499999999</v>
      </c>
      <c r="EI33" s="736">
        <v>153.93641199999999</v>
      </c>
      <c r="EJ33" s="736">
        <v>65.626976999999997</v>
      </c>
      <c r="EK33" s="703">
        <v>504.57950001326503</v>
      </c>
      <c r="EL33" s="704">
        <v>50.191764926774482</v>
      </c>
      <c r="EM33" s="704">
        <v>247.47207728813879</v>
      </c>
      <c r="EN33" s="704">
        <v>158.79609006984376</v>
      </c>
      <c r="EO33" s="704">
        <v>102.28494571955493</v>
      </c>
      <c r="EP33" s="1137">
        <v>455.29367706097997</v>
      </c>
      <c r="EQ33" s="1138">
        <v>32.754363200751001</v>
      </c>
      <c r="ER33" s="1138">
        <v>248.788942313213</v>
      </c>
      <c r="ES33" s="1138">
        <v>210.269847491403</v>
      </c>
      <c r="ET33" s="1139">
        <v>108.019757382458</v>
      </c>
      <c r="EV33" s="169" t="s">
        <v>555</v>
      </c>
      <c r="EW33" s="703">
        <v>51.709116999999999</v>
      </c>
      <c r="EX33" s="704">
        <v>199.80243899999999</v>
      </c>
      <c r="EY33" s="704">
        <v>165.37983</v>
      </c>
      <c r="EZ33" s="704">
        <v>120.95066799999999</v>
      </c>
      <c r="FA33" s="703">
        <v>245.97833399999999</v>
      </c>
      <c r="FB33" s="704">
        <v>751.34668699999997</v>
      </c>
      <c r="FC33" s="704">
        <v>555.98263199999997</v>
      </c>
      <c r="FD33" s="704">
        <v>161.109048</v>
      </c>
      <c r="FE33" s="703">
        <v>69.464481862404497</v>
      </c>
      <c r="FF33" s="704">
        <v>210.9193507380329</v>
      </c>
      <c r="FG33" s="704">
        <v>154.84961029991848</v>
      </c>
      <c r="FH33" s="173">
        <v>69.346057112909193</v>
      </c>
      <c r="FI33" s="703">
        <v>270.49794595479767</v>
      </c>
      <c r="FJ33" s="704">
        <v>806.44674032822877</v>
      </c>
      <c r="FK33" s="746">
        <v>484.70246031092654</v>
      </c>
      <c r="FL33" s="747">
        <v>115.95245837352051</v>
      </c>
      <c r="FM33" s="1137">
        <v>32.247139381176503</v>
      </c>
      <c r="FN33" s="1138">
        <v>179.85787879959099</v>
      </c>
      <c r="FO33" s="1138">
        <v>156.846037608778</v>
      </c>
      <c r="FP33" s="1139">
        <v>88.342623302204203</v>
      </c>
      <c r="FQ33" s="1137">
        <v>195.490053365092</v>
      </c>
      <c r="FR33" s="1138">
        <v>851.012597173779</v>
      </c>
      <c r="FS33" s="1138">
        <v>510.017588388452</v>
      </c>
      <c r="FT33" s="1139">
        <v>137.62406373899901</v>
      </c>
      <c r="FV33" s="167" t="s">
        <v>555</v>
      </c>
      <c r="FW33" s="337">
        <v>327.83135600000003</v>
      </c>
      <c r="FX33" s="337">
        <v>95.869724000000005</v>
      </c>
      <c r="FY33" s="337">
        <v>91.048066000000006</v>
      </c>
      <c r="FZ33" s="173">
        <v>22.051193000000001</v>
      </c>
      <c r="GA33" s="703">
        <v>263.85939479093395</v>
      </c>
      <c r="GB33" s="704">
        <v>115.22374664261598</v>
      </c>
      <c r="GC33" s="704">
        <v>102.03901198152656</v>
      </c>
      <c r="GD33" s="173">
        <v>30.73852123269484</v>
      </c>
      <c r="GE33" s="1137">
        <v>282.54441545005699</v>
      </c>
      <c r="GF33" s="1138">
        <v>135.51405264688</v>
      </c>
      <c r="GG33" s="1138">
        <v>120.198588877332</v>
      </c>
      <c r="GH33" s="1139">
        <v>29.808222193732799</v>
      </c>
      <c r="GJ33" s="169" t="s">
        <v>555</v>
      </c>
      <c r="GK33" s="703">
        <v>1177.998666</v>
      </c>
      <c r="GL33" s="704">
        <v>1178.9991689978112</v>
      </c>
      <c r="GM33" s="1139">
        <v>1175.5010733894101</v>
      </c>
      <c r="GO33" s="169" t="s">
        <v>555</v>
      </c>
      <c r="GP33" s="703">
        <v>1093.185514</v>
      </c>
      <c r="GQ33" s="704">
        <v>7.8885730000000001</v>
      </c>
      <c r="GR33" s="173">
        <v>76.924578999999994</v>
      </c>
      <c r="GS33" s="703">
        <v>1063.3243780175769</v>
      </c>
      <c r="GT33" s="704">
        <v>9.7901046053912602</v>
      </c>
      <c r="GU33" s="173">
        <v>105.88468637484289</v>
      </c>
      <c r="GV33" s="1137">
        <v>1057.1265894795699</v>
      </c>
      <c r="GW33" s="1138">
        <v>13.4052289387712</v>
      </c>
      <c r="GX33" s="1139">
        <v>104.96925497106599</v>
      </c>
      <c r="GZ33" s="169" t="s">
        <v>555</v>
      </c>
      <c r="HA33" s="172">
        <v>541.66178300000001</v>
      </c>
      <c r="HB33" s="337">
        <v>503.566236</v>
      </c>
      <c r="HC33" s="173">
        <f t="shared" si="7"/>
        <v>132.77064699999983</v>
      </c>
      <c r="HD33" s="703">
        <v>534.3580892457943</v>
      </c>
      <c r="HE33" s="704">
        <v>641.29048505042977</v>
      </c>
      <c r="HF33" s="173">
        <f t="shared" si="8"/>
        <v>3.3505947015871698</v>
      </c>
      <c r="HG33" s="583">
        <v>518.83294781911002</v>
      </c>
      <c r="HH33" s="1138">
        <v>656.66812557030096</v>
      </c>
      <c r="HI33" s="173">
        <f t="shared" si="9"/>
        <v>0</v>
      </c>
      <c r="HK33" s="169" t="s">
        <v>555</v>
      </c>
      <c r="HL33" s="704">
        <v>1093.185514</v>
      </c>
      <c r="HM33" s="704">
        <v>3804.3138389999999</v>
      </c>
      <c r="HN33" s="776">
        <f t="shared" si="10"/>
        <v>3.4800258421646082</v>
      </c>
      <c r="HO33" s="703">
        <v>1063.3243780175769</v>
      </c>
      <c r="HP33" s="704">
        <v>3758.5219281521431</v>
      </c>
      <c r="HQ33" s="776">
        <f t="shared" si="11"/>
        <v>3.5346898894196275</v>
      </c>
      <c r="HR33" s="1138">
        <v>1057.1265894795699</v>
      </c>
      <c r="HS33" s="1138">
        <v>3898.8953391192099</v>
      </c>
      <c r="HT33" s="784">
        <f t="shared" si="12"/>
        <v>3.688200994961881</v>
      </c>
      <c r="HV33" s="169" t="s">
        <v>555</v>
      </c>
      <c r="HW33" s="172">
        <v>533.78391299999998</v>
      </c>
      <c r="HX33" s="337">
        <v>2386.1963070000002</v>
      </c>
      <c r="HY33" s="787">
        <f t="shared" si="13"/>
        <v>4.4703413663948321</v>
      </c>
      <c r="HZ33" s="704">
        <v>442.97724499999998</v>
      </c>
      <c r="IA33" s="704">
        <v>1264.7311500000001</v>
      </c>
      <c r="IB33" s="787">
        <f t="shared" si="14"/>
        <v>2.8550702418134368</v>
      </c>
      <c r="IC33" s="703">
        <v>497.77762032032581</v>
      </c>
      <c r="ID33" s="704">
        <v>2145.9508703974798</v>
      </c>
      <c r="IE33" s="787">
        <f t="shared" si="15"/>
        <v>4.3110633801024134</v>
      </c>
      <c r="IF33" s="704">
        <v>562.19616299566417</v>
      </c>
      <c r="IG33" s="704">
        <v>1609.2204630530759</v>
      </c>
      <c r="IH33" s="776">
        <f t="shared" si="16"/>
        <v>2.8623825080525971</v>
      </c>
      <c r="II33" s="1137">
        <v>484.82632624268098</v>
      </c>
      <c r="IJ33" s="1138">
        <v>2158.0176820148099</v>
      </c>
      <c r="IK33" s="1170">
        <f t="shared" si="17"/>
        <v>4.4511148945624894</v>
      </c>
      <c r="IL33" s="1138">
        <v>572.30026323689401</v>
      </c>
      <c r="IM33" s="1138">
        <v>1740.8776571044</v>
      </c>
      <c r="IN33" s="1171">
        <f t="shared" si="18"/>
        <v>3.0418956078372328</v>
      </c>
      <c r="IP33" s="169" t="s">
        <v>555</v>
      </c>
      <c r="IQ33" s="703">
        <v>128.50670600000001</v>
      </c>
      <c r="IR33" s="704">
        <v>175.58970500000001</v>
      </c>
      <c r="IS33" s="704">
        <v>244.189606</v>
      </c>
      <c r="IT33" s="704">
        <v>314.31094100000001</v>
      </c>
      <c r="IU33" s="704">
        <v>230.58855600000001</v>
      </c>
      <c r="IV33" s="704">
        <v>3804.3138389999999</v>
      </c>
      <c r="IW33" s="703">
        <v>59.58442528468769</v>
      </c>
      <c r="IX33" s="704">
        <v>181.58137669673596</v>
      </c>
      <c r="IY33" s="704">
        <v>331.99101556023703</v>
      </c>
      <c r="IZ33" s="704">
        <v>247.39289263239104</v>
      </c>
      <c r="JA33" s="704">
        <v>242.77466784352529</v>
      </c>
      <c r="JB33" s="173">
        <v>3758.5219281521431</v>
      </c>
      <c r="JC33" s="1137">
        <v>54.012373006563401</v>
      </c>
      <c r="JD33" s="1138">
        <v>132.936088332222</v>
      </c>
      <c r="JE33" s="1138">
        <v>313.99588464966502</v>
      </c>
      <c r="JF33" s="1138">
        <v>303.39903793201</v>
      </c>
      <c r="JG33" s="1138">
        <v>252.78320555911401</v>
      </c>
      <c r="JH33" s="1139">
        <v>3898.8953391192099</v>
      </c>
      <c r="JJ33" s="169" t="s">
        <v>555</v>
      </c>
      <c r="JK33" s="172">
        <v>485.54177499999997</v>
      </c>
      <c r="JL33" s="337">
        <v>327.25672400000002</v>
      </c>
      <c r="JM33" s="337">
        <v>270.40969100000001</v>
      </c>
      <c r="JN33" s="173">
        <v>9.9773239999999994</v>
      </c>
      <c r="JO33" s="703">
        <v>514.60224586133734</v>
      </c>
      <c r="JP33" s="704">
        <v>317.77153797637385</v>
      </c>
      <c r="JQ33" s="704">
        <v>221.02790946916417</v>
      </c>
      <c r="JR33" s="173">
        <v>9.9226847107017004</v>
      </c>
      <c r="JS33" s="1137">
        <v>537.67822188456296</v>
      </c>
      <c r="JT33" s="1138">
        <v>301.209161098202</v>
      </c>
      <c r="JU33" s="1138">
        <v>206.41249227292599</v>
      </c>
      <c r="JV33" s="1139">
        <v>11.826714223884199</v>
      </c>
      <c r="JX33" s="169" t="s">
        <v>555</v>
      </c>
      <c r="JY33" s="703">
        <v>140.37822021749901</v>
      </c>
      <c r="JZ33" s="704">
        <v>247.85166993592901</v>
      </c>
      <c r="KA33" s="704">
        <v>169.15784228136599</v>
      </c>
      <c r="KB33" s="173">
        <v>499.73885704478101</v>
      </c>
      <c r="KC33" s="603"/>
      <c r="KD33" s="169" t="s">
        <v>555</v>
      </c>
      <c r="KE33" s="703">
        <v>3.3397954071967</v>
      </c>
      <c r="KF33" s="704">
        <v>84.849769583995794</v>
      </c>
      <c r="KG33" s="704">
        <v>364.54085719381197</v>
      </c>
      <c r="KH33" s="704">
        <v>99.378654671680593</v>
      </c>
      <c r="KI33" s="704">
        <v>13.2345803789774</v>
      </c>
      <c r="KJ33" s="173">
        <v>0</v>
      </c>
      <c r="KK33" s="703">
        <v>59.495026067389901</v>
      </c>
      <c r="KL33" s="704">
        <v>202.821661789253</v>
      </c>
      <c r="KM33" s="704">
        <v>141.43053540324101</v>
      </c>
      <c r="KN33" s="704">
        <v>63.4265408425671</v>
      </c>
      <c r="KO33" s="704">
        <v>6.2309211574536896</v>
      </c>
      <c r="KP33" s="173">
        <v>10.4349090018481</v>
      </c>
      <c r="KQ33" s="703">
        <v>62.834821474586597</v>
      </c>
      <c r="KR33" s="704">
        <v>287.67143137324803</v>
      </c>
      <c r="KS33" s="704">
        <v>505.97139259705301</v>
      </c>
      <c r="KT33" s="704">
        <v>162.805195514248</v>
      </c>
      <c r="KU33" s="704">
        <v>19.465501536431098</v>
      </c>
      <c r="KV33" s="173">
        <v>10.4349090018481</v>
      </c>
      <c r="KW33" s="429"/>
      <c r="KX33" s="169" t="s">
        <v>555</v>
      </c>
      <c r="KY33" s="172">
        <f t="shared" si="19"/>
        <v>345.30189399999983</v>
      </c>
      <c r="KZ33" s="337">
        <v>553.27051900000004</v>
      </c>
      <c r="LA33" s="173">
        <v>195.6131</v>
      </c>
      <c r="LB33" s="172">
        <f t="shared" si="3"/>
        <v>273.81587749433243</v>
      </c>
      <c r="LC33" s="704">
        <v>618.42561008916607</v>
      </c>
      <c r="LD33" s="173">
        <v>171.08289043407839</v>
      </c>
      <c r="LE33" s="172">
        <f t="shared" si="4"/>
        <v>259.11830832082887</v>
      </c>
      <c r="LF33" s="1138">
        <v>597.04592366030897</v>
      </c>
      <c r="LG33" s="1139">
        <v>198.96235546766201</v>
      </c>
      <c r="LH33" s="426"/>
      <c r="LI33" s="169" t="s">
        <v>555</v>
      </c>
      <c r="LJ33" s="703">
        <v>950.11629400000004</v>
      </c>
      <c r="LK33" s="704">
        <v>839.89785099999995</v>
      </c>
      <c r="LL33" s="704">
        <v>110.21844400000001</v>
      </c>
      <c r="LM33" s="704">
        <v>95.368405999999993</v>
      </c>
      <c r="LN33" s="704">
        <v>144.707638</v>
      </c>
      <c r="LO33" s="173">
        <v>87.975441000000004</v>
      </c>
      <c r="LP33" s="703">
        <v>993.2747350612832</v>
      </c>
      <c r="LQ33" s="704">
        <v>844.05187820927028</v>
      </c>
      <c r="LR33" s="704">
        <v>149.22285685201288</v>
      </c>
      <c r="LS33" s="704">
        <v>162.12435809273265</v>
      </c>
      <c r="LT33" s="704">
        <v>139.24912176273943</v>
      </c>
      <c r="LU33" s="173">
        <v>91.842541311282588</v>
      </c>
      <c r="LV33" s="1137">
        <v>1055.1911329147299</v>
      </c>
      <c r="LW33" s="1138">
        <v>880.720742843381</v>
      </c>
      <c r="LX33" s="1138">
        <v>174.47039007134899</v>
      </c>
      <c r="LY33" s="1138">
        <v>101.000868130345</v>
      </c>
      <c r="LZ33" s="1138">
        <v>90.709605123837207</v>
      </c>
      <c r="MA33" s="1139">
        <v>89.303266124407401</v>
      </c>
      <c r="MC33" s="169" t="s">
        <v>555</v>
      </c>
      <c r="MD33" s="703">
        <v>0</v>
      </c>
      <c r="ME33" s="704">
        <v>24.327583000000001</v>
      </c>
      <c r="MF33" s="704">
        <v>144.92973900000001</v>
      </c>
      <c r="MG33" s="704">
        <v>269.91510199999999</v>
      </c>
      <c r="MH33" s="704">
        <v>207.97892200000001</v>
      </c>
      <c r="MI33" s="173">
        <v>190.74650800000001</v>
      </c>
      <c r="MJ33" s="703">
        <v>0</v>
      </c>
      <c r="MK33" s="704">
        <v>27.117267252066988</v>
      </c>
      <c r="ML33" s="704">
        <v>159.64807376301954</v>
      </c>
      <c r="MM33" s="704">
        <v>250.23231942522744</v>
      </c>
      <c r="MN33" s="704">
        <v>220.9044693746506</v>
      </c>
      <c r="MO33" s="173">
        <v>181.1497523018694</v>
      </c>
      <c r="MP33" s="1137">
        <v>0</v>
      </c>
      <c r="MQ33" s="1138">
        <v>27.6555815412482</v>
      </c>
      <c r="MR33" s="1138">
        <v>230.74581048905901</v>
      </c>
      <c r="MS33" s="1138">
        <v>249.343995175055</v>
      </c>
      <c r="MT33" s="1138">
        <v>225.69717491168299</v>
      </c>
      <c r="MU33" s="1139">
        <v>144.27817768018201</v>
      </c>
      <c r="MW33" s="169" t="s">
        <v>555</v>
      </c>
      <c r="MX33" s="172">
        <v>846.82968100000005</v>
      </c>
      <c r="MY33" s="337">
        <v>791.22298999999998</v>
      </c>
      <c r="MZ33" s="337">
        <v>55.606690999999998</v>
      </c>
      <c r="NA33" s="703">
        <v>844.05187820927028</v>
      </c>
      <c r="NB33" s="704">
        <v>759.96780931317096</v>
      </c>
      <c r="NC33" s="173">
        <v>84.084068896099325</v>
      </c>
      <c r="ND33" s="1137">
        <v>880.720742843381</v>
      </c>
      <c r="NE33" s="1138">
        <v>817.50142341748096</v>
      </c>
      <c r="NF33" s="1139">
        <v>63.2193194259008</v>
      </c>
      <c r="NH33" s="169" t="s">
        <v>555</v>
      </c>
      <c r="NI33" s="703">
        <v>646.20861160355764</v>
      </c>
      <c r="NJ33" s="173">
        <v>113.75919770961326</v>
      </c>
      <c r="NK33" s="703">
        <v>54.406262031178372</v>
      </c>
      <c r="NL33" s="704">
        <v>29.677806864920949</v>
      </c>
      <c r="NM33" s="173">
        <v>0</v>
      </c>
      <c r="NN33" s="1137">
        <v>683.50159353556</v>
      </c>
      <c r="NO33" s="1139">
        <v>133.99982988192087</v>
      </c>
      <c r="NP33" s="1137">
        <v>40.495773709700401</v>
      </c>
      <c r="NQ33" s="1138">
        <v>22.723545716200402</v>
      </c>
      <c r="NR33" s="1139">
        <v>0</v>
      </c>
      <c r="NS33" s="136"/>
      <c r="NT33" s="169" t="s">
        <v>555</v>
      </c>
      <c r="NU33" s="703">
        <v>82.391105502029319</v>
      </c>
      <c r="NV33" s="704">
        <v>18.200525831145143</v>
      </c>
      <c r="NW33" s="704">
        <v>0</v>
      </c>
      <c r="NX33" s="173">
        <v>13.167566376438799</v>
      </c>
      <c r="NY33" s="1137">
        <v>100.72499799962</v>
      </c>
      <c r="NZ33" s="1138">
        <v>13.0342694459556</v>
      </c>
      <c r="OA33" s="1138">
        <v>6.6882015535397903</v>
      </c>
      <c r="OB33" s="1139">
        <v>13.5523608828055</v>
      </c>
      <c r="OC33" s="553"/>
      <c r="OD33" s="169" t="s">
        <v>555</v>
      </c>
      <c r="OE33" s="703">
        <v>50.596259947270099</v>
      </c>
      <c r="OF33" s="704">
        <v>112.570211322584</v>
      </c>
      <c r="OG33" s="704">
        <v>112.88124501247999</v>
      </c>
      <c r="OH33" s="704">
        <v>35.9603024988578</v>
      </c>
      <c r="OI33" s="704">
        <v>98.6885246984681</v>
      </c>
      <c r="OJ33" s="704">
        <v>3.3628258679231999</v>
      </c>
      <c r="OK33" s="173">
        <v>2.0000020307700401</v>
      </c>
      <c r="OL33" s="703">
        <v>72.717839673504898</v>
      </c>
      <c r="OM33" s="704">
        <v>119.295863058431</v>
      </c>
      <c r="ON33" s="704">
        <v>112.88124501247999</v>
      </c>
      <c r="OO33" s="704">
        <v>35.9603024988578</v>
      </c>
      <c r="OP33" s="704">
        <v>159.529750866234</v>
      </c>
      <c r="OQ33" s="704">
        <v>117.08758863547</v>
      </c>
      <c r="OR33" s="173">
        <v>1424.5667043273199</v>
      </c>
      <c r="OT33" s="169" t="s">
        <v>555</v>
      </c>
      <c r="OU33" s="172">
        <v>620.69968800000004</v>
      </c>
      <c r="OV33" s="337">
        <v>372.220463</v>
      </c>
      <c r="OW33" s="337">
        <v>191.72698</v>
      </c>
      <c r="OX33" s="173">
        <v>396.09631400000001</v>
      </c>
      <c r="OY33" s="703">
        <v>428.21020548533807</v>
      </c>
      <c r="OZ33" s="704">
        <v>285.82869375156605</v>
      </c>
      <c r="PA33" s="704">
        <v>271.69042967042731</v>
      </c>
      <c r="PB33" s="173">
        <v>514.83691697355027</v>
      </c>
      <c r="PC33" s="1137">
        <v>401.38125316980029</v>
      </c>
      <c r="PD33" s="1138">
        <v>353.08449233826298</v>
      </c>
      <c r="PE33" s="1138">
        <v>269.49737002461598</v>
      </c>
      <c r="PF33" s="1139">
        <v>573.16957569917804</v>
      </c>
      <c r="PH33" s="169" t="s">
        <v>555</v>
      </c>
      <c r="PI33" s="703">
        <v>190.35335676718609</v>
      </c>
      <c r="PJ33" s="704">
        <v>226.55722110216701</v>
      </c>
      <c r="PK33" s="704">
        <v>136.87364819282499</v>
      </c>
      <c r="PL33" s="173">
        <v>268.3574810826496</v>
      </c>
      <c r="PM33" s="703">
        <v>211.02789640261409</v>
      </c>
      <c r="PN33" s="704">
        <v>126.527271236096</v>
      </c>
      <c r="PO33" s="704">
        <v>132.62372183178999</v>
      </c>
      <c r="PP33" s="173">
        <v>304.81209461652901</v>
      </c>
      <c r="PQ33" s="65"/>
      <c r="PR33" s="169" t="s">
        <v>555</v>
      </c>
      <c r="PS33" s="1038">
        <v>17.255654776158</v>
      </c>
      <c r="PT33" s="1039">
        <v>107.716827449107</v>
      </c>
      <c r="PU33" s="1039">
        <v>96.910081676675205</v>
      </c>
      <c r="PV33" s="1039">
        <v>12.8942394266295</v>
      </c>
      <c r="PW33" s="1039">
        <v>450.229830243332</v>
      </c>
      <c r="PX33" s="1040">
        <v>192.714106225325</v>
      </c>
      <c r="PZ33" s="169" t="s">
        <v>555</v>
      </c>
      <c r="QA33" s="1038">
        <v>522.491199918858</v>
      </c>
      <c r="QB33" s="1039">
        <v>358.229542924523</v>
      </c>
      <c r="QC33" s="1039">
        <v>277.41872451389901</v>
      </c>
      <c r="QD33" s="1039">
        <v>16.356843374859601</v>
      </c>
      <c r="QE33" s="1039">
        <v>64.453975035764103</v>
      </c>
      <c r="QF33" s="1040">
        <v>0</v>
      </c>
    </row>
    <row r="34" spans="1:448" ht="13.5" customHeight="1">
      <c r="A34" s="591" t="s">
        <v>499</v>
      </c>
      <c r="B34" s="167" t="s">
        <v>556</v>
      </c>
      <c r="C34" s="1103">
        <v>2266.4411639999998</v>
      </c>
      <c r="D34" s="690">
        <v>2137.3565466526952</v>
      </c>
      <c r="E34" s="691">
        <v>2025.6031097889299</v>
      </c>
      <c r="F34" s="428"/>
      <c r="G34" s="169" t="s">
        <v>556</v>
      </c>
      <c r="H34" s="577">
        <f t="shared" si="5"/>
        <v>-1.1659697726383866E-2</v>
      </c>
      <c r="I34" s="668">
        <f t="shared" si="6"/>
        <v>-1.0682990902938783E-2</v>
      </c>
      <c r="J34" s="612"/>
      <c r="K34" s="63"/>
      <c r="L34" s="167" t="s">
        <v>556</v>
      </c>
      <c r="M34" s="636">
        <v>32</v>
      </c>
      <c r="N34" s="637">
        <v>28</v>
      </c>
      <c r="O34" s="637">
        <v>19</v>
      </c>
      <c r="P34" s="637">
        <v>30</v>
      </c>
      <c r="Q34" s="637">
        <v>26</v>
      </c>
      <c r="R34" s="637">
        <v>25</v>
      </c>
      <c r="S34" s="637">
        <v>23</v>
      </c>
      <c r="T34" s="637">
        <v>24</v>
      </c>
      <c r="U34" s="1138">
        <v>21</v>
      </c>
      <c r="V34" s="1138">
        <v>23</v>
      </c>
      <c r="W34" s="1139">
        <v>18</v>
      </c>
      <c r="X34" s="169" t="s">
        <v>556</v>
      </c>
      <c r="Y34" s="666">
        <v>30</v>
      </c>
      <c r="Z34" s="667">
        <v>24.5</v>
      </c>
      <c r="AA34" s="667">
        <v>25.5</v>
      </c>
      <c r="AB34" s="667">
        <v>23.5</v>
      </c>
      <c r="AC34" s="667">
        <v>23.5</v>
      </c>
      <c r="AD34" s="668">
        <v>-0.18333333333333332</v>
      </c>
      <c r="AE34" s="668">
        <v>4.0816326530612242E-2</v>
      </c>
      <c r="AF34" s="668">
        <v>-7.8431372549019607E-2</v>
      </c>
      <c r="AG34" s="1213">
        <v>4.0816326530612242E-2</v>
      </c>
      <c r="AN34" s="169" t="s">
        <v>556</v>
      </c>
      <c r="AO34" s="636">
        <v>0</v>
      </c>
      <c r="AP34" s="637">
        <v>34.188037000000001</v>
      </c>
      <c r="AQ34" s="637">
        <v>269.40223099999997</v>
      </c>
      <c r="AR34" s="637">
        <v>379.68631900000003</v>
      </c>
      <c r="AS34" s="637">
        <v>284.06807300000003</v>
      </c>
      <c r="AT34" s="637">
        <v>232.828969</v>
      </c>
      <c r="AU34" s="637">
        <v>376.65642700000001</v>
      </c>
      <c r="AV34" s="173">
        <v>426.76628499999998</v>
      </c>
      <c r="AW34" s="636">
        <v>0</v>
      </c>
      <c r="AX34" s="637">
        <v>56.283285099776819</v>
      </c>
      <c r="AY34" s="637">
        <v>353.6719929678485</v>
      </c>
      <c r="AZ34" s="637">
        <v>376.97510106589721</v>
      </c>
      <c r="BA34" s="637">
        <v>306.92019233257446</v>
      </c>
      <c r="BB34" s="637">
        <v>100.49612330748263</v>
      </c>
      <c r="BC34" s="637">
        <v>391.72724616404338</v>
      </c>
      <c r="BD34" s="173">
        <v>322.34077760239899</v>
      </c>
      <c r="BE34" s="1137">
        <v>0</v>
      </c>
      <c r="BF34" s="1138">
        <v>40.299451513383197</v>
      </c>
      <c r="BG34" s="1138">
        <v>365.811150863705</v>
      </c>
      <c r="BH34" s="1138">
        <v>400.79876421126698</v>
      </c>
      <c r="BI34" s="1138">
        <v>244.360778875362</v>
      </c>
      <c r="BJ34" s="1138">
        <v>82.390479345419294</v>
      </c>
      <c r="BK34" s="1138">
        <v>313.45914114048298</v>
      </c>
      <c r="BL34" s="1139">
        <v>341.66156966959102</v>
      </c>
      <c r="BN34" s="169" t="s">
        <v>556</v>
      </c>
      <c r="BO34" s="647">
        <v>262.84482400000002</v>
      </c>
      <c r="BP34" s="648">
        <v>860.10414600000001</v>
      </c>
      <c r="BQ34" s="648">
        <v>332.887338</v>
      </c>
      <c r="BR34" s="648">
        <v>419.19096100000002</v>
      </c>
      <c r="BS34" s="648">
        <v>177.946248</v>
      </c>
      <c r="BT34" s="173">
        <v>213.467648</v>
      </c>
      <c r="BU34" s="647">
        <v>228.94182811267316</v>
      </c>
      <c r="BV34" s="648">
        <v>738.02261293529909</v>
      </c>
      <c r="BW34" s="648">
        <v>423.79950955095006</v>
      </c>
      <c r="BX34" s="648">
        <v>321.38838885558243</v>
      </c>
      <c r="BY34" s="648">
        <v>230.73032140684808</v>
      </c>
      <c r="BZ34" s="173">
        <v>194.47388579134238</v>
      </c>
      <c r="CA34" s="1137">
        <v>236.821774169717</v>
      </c>
      <c r="CB34" s="1138">
        <v>661.34905449836594</v>
      </c>
      <c r="CC34" s="1138">
        <v>427.65814555509297</v>
      </c>
      <c r="CD34" s="1138">
        <v>313.19816958830501</v>
      </c>
      <c r="CE34" s="1138">
        <v>238.31687743356201</v>
      </c>
      <c r="CF34" s="1139">
        <v>148.25908854388501</v>
      </c>
      <c r="CG34" s="429"/>
      <c r="CH34" s="169" t="s">
        <v>556</v>
      </c>
      <c r="CI34" s="172">
        <v>458.554213</v>
      </c>
      <c r="CJ34" s="337">
        <v>1499.39005</v>
      </c>
      <c r="CK34" s="337">
        <v>308.49690099999998</v>
      </c>
      <c r="CL34" s="647">
        <v>380.79978305306736</v>
      </c>
      <c r="CM34" s="648">
        <v>1449.5144822756961</v>
      </c>
      <c r="CN34" s="648">
        <v>307.04228132393183</v>
      </c>
      <c r="CO34" s="1137">
        <v>422.94060087001202</v>
      </c>
      <c r="CP34" s="1138">
        <v>1298.3611256624899</v>
      </c>
      <c r="CQ34" s="1139">
        <v>304.30138325642503</v>
      </c>
      <c r="CR34" s="429"/>
      <c r="CS34" s="232" t="s">
        <v>644</v>
      </c>
      <c r="CT34" s="1001">
        <v>-229.72444043505001</v>
      </c>
      <c r="CU34" s="1001">
        <v>-163.54763194696724</v>
      </c>
      <c r="CV34" s="1003">
        <v>-1381.1278524016966</v>
      </c>
      <c r="CW34" s="1003">
        <v>-1198.4115927810078</v>
      </c>
      <c r="CX34" s="1001">
        <v>-176.060023143481</v>
      </c>
      <c r="CY34" s="1001">
        <v>195.890433674961</v>
      </c>
      <c r="CZ34" s="1001">
        <v>-1315.264722649674</v>
      </c>
      <c r="DA34" s="1004">
        <v>1240.314739083489</v>
      </c>
      <c r="DB34" s="426"/>
      <c r="DC34" s="426"/>
      <c r="DD34" s="426"/>
      <c r="DE34" s="426"/>
      <c r="DG34" s="169" t="s">
        <v>556</v>
      </c>
      <c r="DH34" s="1147" t="s">
        <v>749</v>
      </c>
      <c r="DI34" s="1150" t="s">
        <v>890</v>
      </c>
      <c r="DJ34" s="704" t="s">
        <v>879</v>
      </c>
      <c r="DK34" s="704" t="s">
        <v>891</v>
      </c>
      <c r="DL34" s="337" t="s">
        <v>892</v>
      </c>
      <c r="DM34" s="174" t="s">
        <v>882</v>
      </c>
      <c r="DO34" s="167" t="s">
        <v>556</v>
      </c>
      <c r="DP34" s="704">
        <v>1337.8518650000001</v>
      </c>
      <c r="DQ34" s="337">
        <v>1361.4498153381719</v>
      </c>
      <c r="DR34" s="1139">
        <v>1282.34126654743</v>
      </c>
      <c r="DS34" s="63"/>
      <c r="DT34" s="169" t="s">
        <v>556</v>
      </c>
      <c r="DU34" s="172">
        <v>2266.4411639999998</v>
      </c>
      <c r="DV34" s="337">
        <v>2137.3565466526952</v>
      </c>
      <c r="DW34" s="1139">
        <v>2025.6031097889299</v>
      </c>
      <c r="DX34" s="63"/>
      <c r="DY34" s="169" t="s">
        <v>556</v>
      </c>
      <c r="DZ34" s="1089">
        <f t="shared" si="0"/>
        <v>1.6940897742815493</v>
      </c>
      <c r="EA34" s="787">
        <f t="shared" si="1"/>
        <v>1.5699121058838259</v>
      </c>
      <c r="EB34" s="776">
        <f t="shared" si="2"/>
        <v>1.5796131362462154</v>
      </c>
      <c r="EC34" s="55"/>
      <c r="ED34" s="541"/>
      <c r="EE34" s="169" t="s">
        <v>556</v>
      </c>
      <c r="EF34" s="735">
        <v>727.90243399999997</v>
      </c>
      <c r="EG34" s="736">
        <v>37.254033999999997</v>
      </c>
      <c r="EH34" s="736">
        <v>311.09682600000002</v>
      </c>
      <c r="EI34" s="736">
        <v>174.82220100000001</v>
      </c>
      <c r="EJ34" s="736">
        <v>86.77637</v>
      </c>
      <c r="EK34" s="703">
        <v>825.65926438456574</v>
      </c>
      <c r="EL34" s="704">
        <v>38.950806619549759</v>
      </c>
      <c r="EM34" s="704">
        <v>288.86532349898039</v>
      </c>
      <c r="EN34" s="704">
        <v>114.13159989654444</v>
      </c>
      <c r="EO34" s="704">
        <v>93.842820938531602</v>
      </c>
      <c r="EP34" s="1137">
        <v>823.28490054437998</v>
      </c>
      <c r="EQ34" s="1138">
        <v>29.929507752939799</v>
      </c>
      <c r="ER34" s="1138">
        <v>224.24404177045801</v>
      </c>
      <c r="ES34" s="1138">
        <v>128.41377414534901</v>
      </c>
      <c r="ET34" s="1139">
        <v>76.469042334300696</v>
      </c>
      <c r="EV34" s="169" t="s">
        <v>556</v>
      </c>
      <c r="EW34" s="703">
        <v>274.56109600000002</v>
      </c>
      <c r="EX34" s="704">
        <v>216.83860100000001</v>
      </c>
      <c r="EY34" s="704">
        <v>131.57284300000001</v>
      </c>
      <c r="EZ34" s="704">
        <v>104.929894</v>
      </c>
      <c r="FA34" s="703">
        <v>564.89643699999999</v>
      </c>
      <c r="FB34" s="704">
        <v>896.69206899999995</v>
      </c>
      <c r="FC34" s="704">
        <v>390.97702900000002</v>
      </c>
      <c r="FD34" s="704">
        <v>151.03080399999999</v>
      </c>
      <c r="FE34" s="703">
        <v>265.15887495061895</v>
      </c>
      <c r="FF34" s="704">
        <v>317.1178909399967</v>
      </c>
      <c r="FG34" s="704">
        <v>162.7530854303634</v>
      </c>
      <c r="FH34" s="173">
        <v>80.629413063586682</v>
      </c>
      <c r="FI34" s="703">
        <v>486.34616518974451</v>
      </c>
      <c r="FJ34" s="704">
        <v>885.13104223462267</v>
      </c>
      <c r="FK34" s="746">
        <v>401.93859526320108</v>
      </c>
      <c r="FL34" s="747">
        <v>134.99891585245391</v>
      </c>
      <c r="FM34" s="1137">
        <v>247.1163994371</v>
      </c>
      <c r="FN34" s="1138">
        <v>331.96513742814898</v>
      </c>
      <c r="FO34" s="1138">
        <v>179.827098516691</v>
      </c>
      <c r="FP34" s="1139">
        <v>64.376265162440404</v>
      </c>
      <c r="FQ34" s="1137">
        <v>471.603658828081</v>
      </c>
      <c r="FR34" s="1138">
        <v>822.96871869433096</v>
      </c>
      <c r="FS34" s="1138">
        <v>383.68325449068601</v>
      </c>
      <c r="FT34" s="1139">
        <v>110.525703606113</v>
      </c>
      <c r="FV34" s="167" t="s">
        <v>556</v>
      </c>
      <c r="FW34" s="337">
        <v>323.834813</v>
      </c>
      <c r="FX34" s="337">
        <v>129.96419900000001</v>
      </c>
      <c r="FY34" s="337">
        <v>97.452995999999999</v>
      </c>
      <c r="FZ34" s="173">
        <v>21.443390000000001</v>
      </c>
      <c r="GA34" s="703">
        <v>301.55233593720413</v>
      </c>
      <c r="GB34" s="704">
        <v>112.68804006215008</v>
      </c>
      <c r="GC34" s="704">
        <v>61.564369897492703</v>
      </c>
      <c r="GD34" s="173">
        <v>21.03499843720946</v>
      </c>
      <c r="GE34" s="1137">
        <v>227.25322867268801</v>
      </c>
      <c r="GF34" s="1138">
        <v>88.489829271104398</v>
      </c>
      <c r="GG34" s="1138">
        <v>92.063612173977504</v>
      </c>
      <c r="GH34" s="1139">
        <v>21.320188132337581</v>
      </c>
      <c r="GJ34" s="169" t="s">
        <v>556</v>
      </c>
      <c r="GK34" s="703">
        <v>1508.998368</v>
      </c>
      <c r="GL34" s="704">
        <v>1534.4989360088043</v>
      </c>
      <c r="GM34" s="1139">
        <v>1534.50130206879</v>
      </c>
      <c r="GO34" s="169" t="s">
        <v>556</v>
      </c>
      <c r="GP34" s="703">
        <v>1337.8518650000001</v>
      </c>
      <c r="GQ34" s="704">
        <v>32.406615000000002</v>
      </c>
      <c r="GR34" s="173">
        <v>138.73988800000001</v>
      </c>
      <c r="GS34" s="703">
        <v>1361.4498153381719</v>
      </c>
      <c r="GT34" s="704">
        <v>35.813372432977026</v>
      </c>
      <c r="GU34" s="173">
        <v>137.23574823765551</v>
      </c>
      <c r="GV34" s="1137">
        <v>1282.34126654743</v>
      </c>
      <c r="GW34" s="1138">
        <v>45.4578926241457</v>
      </c>
      <c r="GX34" s="1139">
        <v>206.702142897215</v>
      </c>
      <c r="GZ34" s="169" t="s">
        <v>556</v>
      </c>
      <c r="HA34" s="172">
        <v>470.329838</v>
      </c>
      <c r="HB34" s="337">
        <v>1035.362126</v>
      </c>
      <c r="HC34" s="173">
        <f t="shared" si="7"/>
        <v>3.3064039999999295</v>
      </c>
      <c r="HD34" s="703">
        <v>447.32558051120481</v>
      </c>
      <c r="HE34" s="704">
        <v>1077.5496266865766</v>
      </c>
      <c r="HF34" s="173">
        <f t="shared" si="8"/>
        <v>9.6237288110228292</v>
      </c>
      <c r="HG34" s="583">
        <v>426.324931374502</v>
      </c>
      <c r="HH34" s="1138">
        <v>1096.0736713715301</v>
      </c>
      <c r="HI34" s="173">
        <f t="shared" si="9"/>
        <v>12.102699322757871</v>
      </c>
      <c r="HK34" s="169" t="s">
        <v>556</v>
      </c>
      <c r="HL34" s="704">
        <v>1337.8518650000001</v>
      </c>
      <c r="HM34" s="704">
        <v>4210.9139480000003</v>
      </c>
      <c r="HN34" s="776">
        <f t="shared" si="10"/>
        <v>3.1475188383431374</v>
      </c>
      <c r="HO34" s="703">
        <v>1361.4498153381719</v>
      </c>
      <c r="HP34" s="704">
        <v>4022.9287179116768</v>
      </c>
      <c r="HQ34" s="776">
        <f t="shared" si="11"/>
        <v>2.954885793504197</v>
      </c>
      <c r="HR34" s="1138">
        <v>1282.34126654743</v>
      </c>
      <c r="HS34" s="1138">
        <v>3874.8828679363</v>
      </c>
      <c r="HT34" s="784">
        <f t="shared" si="12"/>
        <v>3.0217251593010164</v>
      </c>
      <c r="HV34" s="169" t="s">
        <v>556</v>
      </c>
      <c r="HW34" s="172">
        <v>433.85698400000001</v>
      </c>
      <c r="HX34" s="337">
        <v>1990.1569549999999</v>
      </c>
      <c r="HY34" s="787">
        <f t="shared" si="13"/>
        <v>4.5871266993364799</v>
      </c>
      <c r="HZ34" s="704">
        <v>900.68847600000004</v>
      </c>
      <c r="IA34" s="704">
        <v>2217.450589</v>
      </c>
      <c r="IB34" s="787">
        <f t="shared" si="14"/>
        <v>2.4619506611739972</v>
      </c>
      <c r="IC34" s="703">
        <v>415.43360795799748</v>
      </c>
      <c r="ID34" s="704">
        <v>1821.3242166650521</v>
      </c>
      <c r="IE34" s="787">
        <f t="shared" si="15"/>
        <v>4.38415232127584</v>
      </c>
      <c r="IF34" s="704">
        <v>936.39247856915142</v>
      </c>
      <c r="IG34" s="704">
        <v>2191.9807724356028</v>
      </c>
      <c r="IH34" s="776">
        <f t="shared" si="16"/>
        <v>2.3408782349309822</v>
      </c>
      <c r="II34" s="1137">
        <v>400.61941673386599</v>
      </c>
      <c r="IJ34" s="1138">
        <v>1866.499732129</v>
      </c>
      <c r="IK34" s="1170">
        <f t="shared" si="17"/>
        <v>4.6590346203038067</v>
      </c>
      <c r="IL34" s="1138">
        <v>869.61915049080903</v>
      </c>
      <c r="IM34" s="1138">
        <v>1996.2804364845399</v>
      </c>
      <c r="IN34" s="1171">
        <f t="shared" si="18"/>
        <v>2.2955801230433441</v>
      </c>
      <c r="IP34" s="169" t="s">
        <v>556</v>
      </c>
      <c r="IQ34" s="703">
        <v>228.62585799999999</v>
      </c>
      <c r="IR34" s="704">
        <v>218.27789799999999</v>
      </c>
      <c r="IS34" s="704">
        <v>423.400578</v>
      </c>
      <c r="IT34" s="704">
        <v>245.60285400000001</v>
      </c>
      <c r="IU34" s="704">
        <v>221.94467700000001</v>
      </c>
      <c r="IV34" s="704">
        <v>4210.9139480000003</v>
      </c>
      <c r="IW34" s="703">
        <v>221.15098818398121</v>
      </c>
      <c r="IX34" s="704">
        <v>373.2581467453814</v>
      </c>
      <c r="IY34" s="704">
        <v>362.12818959604499</v>
      </c>
      <c r="IZ34" s="704">
        <v>168.52325039262806</v>
      </c>
      <c r="JA34" s="704">
        <v>236.38924042013628</v>
      </c>
      <c r="JB34" s="173">
        <v>4022.9287179116768</v>
      </c>
      <c r="JC34" s="1137">
        <v>216.026715703371</v>
      </c>
      <c r="JD34" s="1138">
        <v>347.38901977795899</v>
      </c>
      <c r="JE34" s="1138">
        <v>338.44898074308099</v>
      </c>
      <c r="JF34" s="1138">
        <v>160.683641585792</v>
      </c>
      <c r="JG34" s="1138">
        <v>219.792908737224</v>
      </c>
      <c r="JH34" s="1139">
        <v>3874.8828679363</v>
      </c>
      <c r="JJ34" s="169" t="s">
        <v>556</v>
      </c>
      <c r="JK34" s="172">
        <v>554.85289399999999</v>
      </c>
      <c r="JL34" s="337">
        <v>748.44335799999999</v>
      </c>
      <c r="JM34" s="337">
        <v>12.296205</v>
      </c>
      <c r="JN34" s="173">
        <v>22.259408000000001</v>
      </c>
      <c r="JO34" s="703">
        <v>613.53471878084633</v>
      </c>
      <c r="JP34" s="704">
        <v>666.22099866846133</v>
      </c>
      <c r="JQ34" s="704">
        <v>68.894284784285887</v>
      </c>
      <c r="JR34" s="173">
        <v>12.7998131045784</v>
      </c>
      <c r="JS34" s="1137">
        <v>590.19490269687503</v>
      </c>
      <c r="JT34" s="1138">
        <v>671.14732087669699</v>
      </c>
      <c r="JU34" s="1138">
        <v>5.9771567069999199</v>
      </c>
      <c r="JV34" s="1139">
        <v>15.0218862668557</v>
      </c>
      <c r="JX34" s="169" t="s">
        <v>556</v>
      </c>
      <c r="JY34" s="703">
        <v>412.096376583969</v>
      </c>
      <c r="JZ34" s="704">
        <v>293.039750123494</v>
      </c>
      <c r="KA34" s="704">
        <v>169.49634935814399</v>
      </c>
      <c r="KB34" s="173">
        <v>407.70879048182098</v>
      </c>
      <c r="KC34" s="603"/>
      <c r="KD34" s="169" t="s">
        <v>556</v>
      </c>
      <c r="KE34" s="703">
        <v>30.063075005794801</v>
      </c>
      <c r="KF34" s="704">
        <v>92.6770751883721</v>
      </c>
      <c r="KG34" s="704">
        <v>284.50542072521102</v>
      </c>
      <c r="KH34" s="704">
        <v>154.03540219556001</v>
      </c>
      <c r="KI34" s="704">
        <v>232.903094544997</v>
      </c>
      <c r="KJ34" s="173">
        <v>72.425895928643797</v>
      </c>
      <c r="KK34" s="703">
        <v>99.493018780764302</v>
      </c>
      <c r="KL34" s="704">
        <v>103.724701969473</v>
      </c>
      <c r="KM34" s="704">
        <v>126.711163734371</v>
      </c>
      <c r="KN34" s="704">
        <v>23.928501901505602</v>
      </c>
      <c r="KO34" s="704">
        <v>33.744070242627103</v>
      </c>
      <c r="KP34" s="173">
        <v>9.9054397896126893</v>
      </c>
      <c r="KQ34" s="703">
        <v>129.55609378655899</v>
      </c>
      <c r="KR34" s="704">
        <v>196.401777157845</v>
      </c>
      <c r="KS34" s="704">
        <v>411.21658445958201</v>
      </c>
      <c r="KT34" s="704">
        <v>177.96390409706601</v>
      </c>
      <c r="KU34" s="704">
        <v>278.74986411037702</v>
      </c>
      <c r="KV34" s="173">
        <v>82.331335718256497</v>
      </c>
      <c r="KW34" s="429"/>
      <c r="KX34" s="169" t="s">
        <v>556</v>
      </c>
      <c r="KY34" s="172">
        <f t="shared" si="19"/>
        <v>395.11420700000008</v>
      </c>
      <c r="KZ34" s="337">
        <v>734.32021199999997</v>
      </c>
      <c r="LA34" s="173">
        <v>208.41744600000001</v>
      </c>
      <c r="LB34" s="172">
        <f t="shared" si="3"/>
        <v>330.53246521590927</v>
      </c>
      <c r="LC34" s="704">
        <v>817.80450091202533</v>
      </c>
      <c r="LD34" s="173">
        <v>213.11284921023721</v>
      </c>
      <c r="LE34" s="172">
        <f t="shared" si="4"/>
        <v>361.23946142591308</v>
      </c>
      <c r="LF34" s="1138">
        <v>729.83407643007195</v>
      </c>
      <c r="LG34" s="1139">
        <v>191.267728691445</v>
      </c>
      <c r="LH34" s="426"/>
      <c r="LI34" s="169" t="s">
        <v>556</v>
      </c>
      <c r="LJ34" s="703">
        <v>1211.994357</v>
      </c>
      <c r="LK34" s="704">
        <v>1095.743307</v>
      </c>
      <c r="LL34" s="704">
        <v>116.25105000000001</v>
      </c>
      <c r="LM34" s="704">
        <v>329.94614999999999</v>
      </c>
      <c r="LN34" s="704">
        <v>82.326496000000006</v>
      </c>
      <c r="LO34" s="173">
        <v>70.832436000000001</v>
      </c>
      <c r="LP34" s="703">
        <v>1199.7308581249215</v>
      </c>
      <c r="LQ34" s="704">
        <v>1062.0127339403873</v>
      </c>
      <c r="LR34" s="704">
        <v>137.71812418453433</v>
      </c>
      <c r="LS34" s="704">
        <v>261.76001348623134</v>
      </c>
      <c r="LT34" s="704">
        <v>101.62020510601526</v>
      </c>
      <c r="LU34" s="173">
        <v>38.261360498921903</v>
      </c>
      <c r="LV34" s="1137">
        <v>1129.7052467410499</v>
      </c>
      <c r="LW34" s="1138">
        <v>963.61734905870503</v>
      </c>
      <c r="LX34" s="1138">
        <v>166.08789768234001</v>
      </c>
      <c r="LY34" s="1138">
        <v>273.82801290478602</v>
      </c>
      <c r="LZ34" s="1138">
        <v>43.327874901515898</v>
      </c>
      <c r="MA34" s="1139">
        <v>37.618817815439201</v>
      </c>
      <c r="MC34" s="169" t="s">
        <v>556</v>
      </c>
      <c r="MD34" s="703">
        <v>0</v>
      </c>
      <c r="ME34" s="704">
        <v>26.165841</v>
      </c>
      <c r="MF34" s="704">
        <v>262.26413400000001</v>
      </c>
      <c r="MG34" s="704">
        <v>347.56884600000001</v>
      </c>
      <c r="MH34" s="704">
        <v>259.77386000000001</v>
      </c>
      <c r="MI34" s="173">
        <v>199.97062600000001</v>
      </c>
      <c r="MJ34" s="703">
        <v>0</v>
      </c>
      <c r="MK34" s="704">
        <v>48.920588845852123</v>
      </c>
      <c r="ML34" s="704">
        <v>333.52503964507571</v>
      </c>
      <c r="MM34" s="704">
        <v>333.51165728845626</v>
      </c>
      <c r="MN34" s="704">
        <v>258.41315120214017</v>
      </c>
      <c r="MO34" s="173">
        <v>87.642296958863128</v>
      </c>
      <c r="MP34" s="1137">
        <v>0</v>
      </c>
      <c r="MQ34" s="1138">
        <v>33.526196064494101</v>
      </c>
      <c r="MR34" s="1138">
        <v>347.58287449814998</v>
      </c>
      <c r="MS34" s="1138">
        <v>317.92772825881599</v>
      </c>
      <c r="MT34" s="1138">
        <v>199.99435845510899</v>
      </c>
      <c r="MU34" s="1139">
        <v>64.586191782136098</v>
      </c>
      <c r="MW34" s="169" t="s">
        <v>556</v>
      </c>
      <c r="MX34" s="172">
        <v>1102.753907</v>
      </c>
      <c r="MY34" s="337">
        <v>1028.7010909999999</v>
      </c>
      <c r="MZ34" s="337">
        <v>74.052814999999995</v>
      </c>
      <c r="NA34" s="703">
        <v>1069.3290640833663</v>
      </c>
      <c r="NB34" s="704">
        <v>962.74155966179524</v>
      </c>
      <c r="NC34" s="173">
        <v>106.58750442157132</v>
      </c>
      <c r="ND34" s="1137">
        <v>978.65038024419596</v>
      </c>
      <c r="NE34" s="1138">
        <v>903.90938420661496</v>
      </c>
      <c r="NF34" s="1139">
        <v>74.740996037581098</v>
      </c>
      <c r="NH34" s="169" t="s">
        <v>556</v>
      </c>
      <c r="NI34" s="703">
        <v>744.12965759328881</v>
      </c>
      <c r="NJ34" s="173">
        <v>218.61190206850637</v>
      </c>
      <c r="NK34" s="703">
        <v>79.227344019271527</v>
      </c>
      <c r="NL34" s="704">
        <v>27.360160402299783</v>
      </c>
      <c r="NM34" s="173">
        <v>0</v>
      </c>
      <c r="NN34" s="1137">
        <v>721.07506599236899</v>
      </c>
      <c r="NO34" s="1139">
        <v>182.8343182142454</v>
      </c>
      <c r="NP34" s="1137">
        <v>50.7213693785949</v>
      </c>
      <c r="NQ34" s="1138">
        <v>24.019626658986201</v>
      </c>
      <c r="NR34" s="1139">
        <v>0</v>
      </c>
      <c r="NS34" s="136"/>
      <c r="NT34" s="169" t="s">
        <v>556</v>
      </c>
      <c r="NU34" s="703">
        <v>137.77205269204367</v>
      </c>
      <c r="NV34" s="704">
        <v>19.21081362382872</v>
      </c>
      <c r="NW34" s="704">
        <v>6.3839938972297601</v>
      </c>
      <c r="NX34" s="173">
        <v>55.245041855404196</v>
      </c>
      <c r="NY34" s="1137">
        <v>104.85996062565199</v>
      </c>
      <c r="NZ34" s="1138">
        <v>15.6210816822765</v>
      </c>
      <c r="OA34" s="1138">
        <v>5.7525143274503003</v>
      </c>
      <c r="OB34" s="1139">
        <v>56.600761578866603</v>
      </c>
      <c r="OC34" s="553"/>
      <c r="OD34" s="169" t="s">
        <v>556</v>
      </c>
      <c r="OE34" s="703">
        <v>39.026889998522201</v>
      </c>
      <c r="OF34" s="704">
        <v>90.264298609867595</v>
      </c>
      <c r="OG34" s="704">
        <v>68.255811638780401</v>
      </c>
      <c r="OH34" s="704">
        <v>54.565820621958899</v>
      </c>
      <c r="OI34" s="704">
        <v>315.64146192922402</v>
      </c>
      <c r="OJ34" s="704">
        <v>51.486905522405799</v>
      </c>
      <c r="OK34" s="173">
        <v>16.0040828429896</v>
      </c>
      <c r="OL34" s="703">
        <v>42.139410314034699</v>
      </c>
      <c r="OM34" s="704">
        <v>90.264298609867595</v>
      </c>
      <c r="ON34" s="704">
        <v>68.255811638780401</v>
      </c>
      <c r="OO34" s="704">
        <v>54.565820621958899</v>
      </c>
      <c r="OP34" s="704">
        <v>417.03783820612199</v>
      </c>
      <c r="OQ34" s="704">
        <v>189.745395670286</v>
      </c>
      <c r="OR34" s="173">
        <v>1127.4322811208399</v>
      </c>
      <c r="OT34" s="169" t="s">
        <v>556</v>
      </c>
      <c r="OU34" s="172">
        <v>393.49925700000006</v>
      </c>
      <c r="OV34" s="337">
        <v>272.63668699999999</v>
      </c>
      <c r="OW34" s="337">
        <v>271.37302699999998</v>
      </c>
      <c r="OX34" s="173">
        <v>595.31879000000004</v>
      </c>
      <c r="OY34" s="703">
        <v>267.91334199917657</v>
      </c>
      <c r="OZ34" s="704">
        <v>226.54516020710531</v>
      </c>
      <c r="PA34" s="704">
        <v>289.19674179908174</v>
      </c>
      <c r="PB34" s="173">
        <v>712.04066314251065</v>
      </c>
      <c r="PC34" s="1137">
        <v>186.3010896015256</v>
      </c>
      <c r="PD34" s="1138">
        <v>159.18093757024999</v>
      </c>
      <c r="PE34" s="1138">
        <v>204.03128431058099</v>
      </c>
      <c r="PF34" s="1139">
        <v>801.56975322027506</v>
      </c>
      <c r="PH34" s="169" t="s">
        <v>556</v>
      </c>
      <c r="PI34" s="703">
        <v>63.698803289316899</v>
      </c>
      <c r="PJ34" s="704">
        <v>90.590028556751605</v>
      </c>
      <c r="PK34" s="704">
        <v>96.833221738448302</v>
      </c>
      <c r="PL34" s="173">
        <v>339.60287805157293</v>
      </c>
      <c r="PM34" s="703">
        <v>122.60228631220909</v>
      </c>
      <c r="PN34" s="704">
        <v>68.590909013498703</v>
      </c>
      <c r="PO34" s="704">
        <v>107.198062572133</v>
      </c>
      <c r="PP34" s="173">
        <v>461.96687516870298</v>
      </c>
      <c r="PQ34" s="65"/>
      <c r="PR34" s="169" t="s">
        <v>556</v>
      </c>
      <c r="PS34" s="1038">
        <v>26.443120543323001</v>
      </c>
      <c r="PT34" s="1039">
        <v>114.875147371384</v>
      </c>
      <c r="PU34" s="1039">
        <v>121.44523625862401</v>
      </c>
      <c r="PV34" s="1039">
        <v>6.1010986690124502</v>
      </c>
      <c r="PW34" s="1039">
        <v>484.33588053687799</v>
      </c>
      <c r="PX34" s="1040">
        <v>225.44989686497499</v>
      </c>
      <c r="PZ34" s="169" t="s">
        <v>556</v>
      </c>
      <c r="QA34" s="1038">
        <v>599.22420013074805</v>
      </c>
      <c r="QB34" s="1039">
        <v>379.42618011344803</v>
      </c>
      <c r="QC34" s="1039">
        <v>259.43883303096902</v>
      </c>
      <c r="QD34" s="1039">
        <v>53.534055691954499</v>
      </c>
      <c r="QE34" s="1039">
        <v>66.4532913905242</v>
      </c>
      <c r="QF34" s="1040">
        <v>0</v>
      </c>
    </row>
    <row r="35" spans="1:448" ht="13.5" customHeight="1">
      <c r="A35" s="591" t="s">
        <v>500</v>
      </c>
      <c r="B35" s="167" t="s">
        <v>557</v>
      </c>
      <c r="C35" s="1103">
        <v>2740.5737100000001</v>
      </c>
      <c r="D35" s="690">
        <v>2842.032082743925</v>
      </c>
      <c r="E35" s="691">
        <v>2476.5253084760602</v>
      </c>
      <c r="F35" s="428"/>
      <c r="G35" s="169" t="s">
        <v>557</v>
      </c>
      <c r="H35" s="577">
        <f t="shared" si="5"/>
        <v>7.2969009205281488E-3</v>
      </c>
      <c r="I35" s="668">
        <f t="shared" si="6"/>
        <v>-2.7156998780532571E-2</v>
      </c>
      <c r="J35" s="612"/>
      <c r="K35" s="63"/>
      <c r="L35" s="167" t="s">
        <v>557</v>
      </c>
      <c r="M35" s="636">
        <v>41</v>
      </c>
      <c r="N35" s="637">
        <v>40</v>
      </c>
      <c r="O35" s="637">
        <v>42</v>
      </c>
      <c r="P35" s="637">
        <v>50</v>
      </c>
      <c r="Q35" s="637">
        <v>37</v>
      </c>
      <c r="R35" s="637">
        <v>42</v>
      </c>
      <c r="S35" s="637">
        <v>62</v>
      </c>
      <c r="T35" s="637">
        <v>50</v>
      </c>
      <c r="U35" s="1138">
        <v>58</v>
      </c>
      <c r="V35" s="1138">
        <v>35</v>
      </c>
      <c r="W35" s="1139">
        <v>51</v>
      </c>
      <c r="X35" s="169" t="s">
        <v>557</v>
      </c>
      <c r="Y35" s="666">
        <v>40.5</v>
      </c>
      <c r="Z35" s="667">
        <v>46</v>
      </c>
      <c r="AA35" s="667">
        <v>39.5</v>
      </c>
      <c r="AB35" s="667">
        <v>56</v>
      </c>
      <c r="AC35" s="667">
        <v>56</v>
      </c>
      <c r="AD35" s="668">
        <v>0.13580246913580246</v>
      </c>
      <c r="AE35" s="668">
        <v>-0.14130434782608695</v>
      </c>
      <c r="AF35" s="668">
        <v>0.41772151898734178</v>
      </c>
      <c r="AG35" s="1213">
        <v>-0.14130434782608695</v>
      </c>
      <c r="AN35" s="169" t="s">
        <v>557</v>
      </c>
      <c r="AO35" s="636">
        <v>0</v>
      </c>
      <c r="AP35" s="637">
        <v>18.027726000000001</v>
      </c>
      <c r="AQ35" s="637">
        <v>58.717869</v>
      </c>
      <c r="AR35" s="637">
        <v>178.26937100000001</v>
      </c>
      <c r="AS35" s="637">
        <v>451.37947400000002</v>
      </c>
      <c r="AT35" s="637">
        <v>351.93656299999998</v>
      </c>
      <c r="AU35" s="637">
        <v>398.926152</v>
      </c>
      <c r="AV35" s="173">
        <v>774.82637799999998</v>
      </c>
      <c r="AW35" s="636">
        <v>1.0822754919554201</v>
      </c>
      <c r="AX35" s="637">
        <v>31.455657738282479</v>
      </c>
      <c r="AY35" s="637">
        <v>122.91550338376928</v>
      </c>
      <c r="AZ35" s="637">
        <v>206.50054565356731</v>
      </c>
      <c r="BA35" s="637">
        <v>347.26807398054706</v>
      </c>
      <c r="BB35" s="637">
        <v>290.34574271669533</v>
      </c>
      <c r="BC35" s="637">
        <v>325.92122442495128</v>
      </c>
      <c r="BD35" s="173">
        <v>934.53857700598542</v>
      </c>
      <c r="BE35" s="1137">
        <v>3.2479954120268801</v>
      </c>
      <c r="BF35" s="1138">
        <v>32.265187458694498</v>
      </c>
      <c r="BG35" s="1138">
        <v>112.42499365672199</v>
      </c>
      <c r="BH35" s="1138">
        <v>164.343562671651</v>
      </c>
      <c r="BI35" s="1138">
        <v>289.978946813432</v>
      </c>
      <c r="BJ35" s="1138">
        <v>280.12840828417097</v>
      </c>
      <c r="BK35" s="1138">
        <v>263.02268784176903</v>
      </c>
      <c r="BL35" s="1139">
        <v>872.66009186292899</v>
      </c>
      <c r="BN35" s="169" t="s">
        <v>557</v>
      </c>
      <c r="BO35" s="647">
        <v>509.49017500000002</v>
      </c>
      <c r="BP35" s="648">
        <v>1089.2220400000001</v>
      </c>
      <c r="BQ35" s="648">
        <v>428.61503299999998</v>
      </c>
      <c r="BR35" s="648">
        <v>336.62761799999998</v>
      </c>
      <c r="BS35" s="648">
        <v>156.541282</v>
      </c>
      <c r="BT35" s="173">
        <v>220.077561</v>
      </c>
      <c r="BU35" s="647">
        <v>579.00448469270987</v>
      </c>
      <c r="BV35" s="648">
        <v>1080.0644284063371</v>
      </c>
      <c r="BW35" s="648">
        <v>497.74740853694988</v>
      </c>
      <c r="BX35" s="648">
        <v>307.94341855149213</v>
      </c>
      <c r="BY35" s="648">
        <v>178.55459711250103</v>
      </c>
      <c r="BZ35" s="173">
        <v>198.7177454439354</v>
      </c>
      <c r="CA35" s="1137">
        <v>454.45343041312202</v>
      </c>
      <c r="CB35" s="1138">
        <v>986.42943672142803</v>
      </c>
      <c r="CC35" s="1138">
        <v>421.43014778712597</v>
      </c>
      <c r="CD35" s="1138">
        <v>222.98891122611801</v>
      </c>
      <c r="CE35" s="1138">
        <v>226.43574223447001</v>
      </c>
      <c r="CF35" s="1139">
        <v>164.78764009379299</v>
      </c>
      <c r="CG35" s="429"/>
      <c r="CH35" s="169" t="s">
        <v>557</v>
      </c>
      <c r="CI35" s="172">
        <v>814.36075900000003</v>
      </c>
      <c r="CJ35" s="337">
        <v>1593.788906</v>
      </c>
      <c r="CK35" s="337">
        <v>332.42404499999998</v>
      </c>
      <c r="CL35" s="647">
        <v>971.87110688860776</v>
      </c>
      <c r="CM35" s="648">
        <v>1579.1779917021408</v>
      </c>
      <c r="CN35" s="648">
        <v>290.98298415317686</v>
      </c>
      <c r="CO35" s="1137">
        <v>750.40031827442795</v>
      </c>
      <c r="CP35" s="1138">
        <v>1423.18340446619</v>
      </c>
      <c r="CQ35" s="1139">
        <v>302.94158573544098</v>
      </c>
      <c r="CR35" s="429"/>
      <c r="CS35" s="232" t="s">
        <v>645</v>
      </c>
      <c r="CT35" s="1001">
        <v>-158.81500968953117</v>
      </c>
      <c r="CU35" s="1001">
        <v>-185.93329733500417</v>
      </c>
      <c r="CV35" s="1003">
        <v>-1066.026084669305</v>
      </c>
      <c r="CW35" s="1003">
        <v>-1159.9173310925887</v>
      </c>
      <c r="CX35" s="1001">
        <v>-214.923501716244</v>
      </c>
      <c r="CY35" s="1001">
        <v>210.28974166262699</v>
      </c>
      <c r="CZ35" s="1001">
        <v>-1135.0942730968231</v>
      </c>
      <c r="DA35" s="1004">
        <v>1136.9126804795389</v>
      </c>
      <c r="DB35" s="426"/>
      <c r="DC35" s="426"/>
      <c r="DD35" s="426"/>
      <c r="DE35" s="426"/>
      <c r="DG35" s="169" t="s">
        <v>557</v>
      </c>
      <c r="DH35" s="1147" t="s">
        <v>750</v>
      </c>
      <c r="DI35" s="1150" t="s">
        <v>893</v>
      </c>
      <c r="DJ35" s="704" t="s">
        <v>894</v>
      </c>
      <c r="DK35" s="704" t="s">
        <v>895</v>
      </c>
      <c r="DL35" s="337" t="s">
        <v>896</v>
      </c>
      <c r="DM35" s="174" t="s">
        <v>859</v>
      </c>
      <c r="DO35" s="167" t="s">
        <v>557</v>
      </c>
      <c r="DP35" s="704">
        <v>1571.6814220000001</v>
      </c>
      <c r="DQ35" s="337">
        <v>1586.8520094880437</v>
      </c>
      <c r="DR35" s="1139">
        <v>1448.1225474472101</v>
      </c>
      <c r="DS35" s="63"/>
      <c r="DT35" s="169" t="s">
        <v>557</v>
      </c>
      <c r="DU35" s="172">
        <v>2616.5738609999999</v>
      </c>
      <c r="DV35" s="337">
        <v>2759.0321476094823</v>
      </c>
      <c r="DW35" s="1139">
        <v>2392.5252231837198</v>
      </c>
      <c r="DX35" s="63"/>
      <c r="DY35" s="169" t="s">
        <v>557</v>
      </c>
      <c r="DZ35" s="1089">
        <f t="shared" si="0"/>
        <v>1.6648245785525355</v>
      </c>
      <c r="EA35" s="787">
        <f t="shared" si="1"/>
        <v>1.7386827070910109</v>
      </c>
      <c r="EB35" s="776">
        <f t="shared" si="2"/>
        <v>1.6521565991782454</v>
      </c>
      <c r="ED35" s="541"/>
      <c r="EE35" s="169" t="s">
        <v>557</v>
      </c>
      <c r="EF35" s="735">
        <v>992.89894400000003</v>
      </c>
      <c r="EG35" s="736">
        <v>44.291604</v>
      </c>
      <c r="EH35" s="736">
        <v>166.16622599999999</v>
      </c>
      <c r="EI35" s="736">
        <v>156.60165699999999</v>
      </c>
      <c r="EJ35" s="736">
        <v>211.72299100000001</v>
      </c>
      <c r="EK35" s="703">
        <v>1013.9614628211987</v>
      </c>
      <c r="EL35" s="704">
        <v>48.362689270612819</v>
      </c>
      <c r="EM35" s="704">
        <v>140.23115944279078</v>
      </c>
      <c r="EN35" s="704">
        <v>189.1164281057253</v>
      </c>
      <c r="EO35" s="704">
        <v>195.1802698477162</v>
      </c>
      <c r="EP35" s="1137">
        <v>986.33516771341999</v>
      </c>
      <c r="EQ35" s="1138">
        <v>46.601800385096602</v>
      </c>
      <c r="ER35" s="1138">
        <v>114.680113461918</v>
      </c>
      <c r="ES35" s="1138">
        <v>129.60183351123101</v>
      </c>
      <c r="ET35" s="1139">
        <v>170.903632375542</v>
      </c>
      <c r="EV35" s="169" t="s">
        <v>557</v>
      </c>
      <c r="EW35" s="703">
        <v>508.54047600000001</v>
      </c>
      <c r="EX35" s="704">
        <v>313.377206</v>
      </c>
      <c r="EY35" s="704">
        <v>128.729432</v>
      </c>
      <c r="EZ35" s="704">
        <v>42.251831000000003</v>
      </c>
      <c r="FA35" s="703">
        <v>821.09177999999997</v>
      </c>
      <c r="FB35" s="704">
        <v>930.14656300000001</v>
      </c>
      <c r="FC35" s="704">
        <v>278.93962099999999</v>
      </c>
      <c r="FD35" s="704">
        <v>76.905722999999995</v>
      </c>
      <c r="FE35" s="703">
        <v>533.96018407682845</v>
      </c>
      <c r="FF35" s="704">
        <v>298.17283608481995</v>
      </c>
      <c r="FG35" s="704">
        <v>156.47409850280891</v>
      </c>
      <c r="FH35" s="173">
        <v>25.354344156741242</v>
      </c>
      <c r="FI35" s="703">
        <v>812.29874361870179</v>
      </c>
      <c r="FJ35" s="704">
        <v>966.39366407209695</v>
      </c>
      <c r="FK35" s="746">
        <v>353.98591146195031</v>
      </c>
      <c r="FL35" s="747">
        <v>47.349343764023239</v>
      </c>
      <c r="FM35" s="1137">
        <v>484.58227664437101</v>
      </c>
      <c r="FN35" s="1138">
        <v>310.78450129050299</v>
      </c>
      <c r="FO35" s="1138">
        <v>169.53815821691299</v>
      </c>
      <c r="FP35" s="1139">
        <v>21.430231561633001</v>
      </c>
      <c r="FQ35" s="1137">
        <v>742.843889919361</v>
      </c>
      <c r="FR35" s="1138">
        <v>819.55372815194198</v>
      </c>
      <c r="FS35" s="1138">
        <v>334.73634857219002</v>
      </c>
      <c r="FT35" s="1139">
        <v>40.937826127099797</v>
      </c>
      <c r="FV35" s="167" t="s">
        <v>557</v>
      </c>
      <c r="FW35" s="337">
        <v>194.82667599999999</v>
      </c>
      <c r="FX35" s="337">
        <v>191.22482099999999</v>
      </c>
      <c r="FY35" s="337">
        <v>84.448615000000004</v>
      </c>
      <c r="FZ35" s="173">
        <v>72.491911999999999</v>
      </c>
      <c r="GA35" s="703">
        <v>169.6346275819717</v>
      </c>
      <c r="GB35" s="704">
        <v>163.891307667679</v>
      </c>
      <c r="GC35" s="704">
        <v>99.917580603322563</v>
      </c>
      <c r="GD35" s="173">
        <v>94.750965374747466</v>
      </c>
      <c r="GE35" s="1137">
        <v>148.87763804644101</v>
      </c>
      <c r="GF35" s="1138">
        <v>105.021476497938</v>
      </c>
      <c r="GG35" s="1138">
        <v>89.180016336866601</v>
      </c>
      <c r="GH35" s="1139">
        <v>75.006938127884197</v>
      </c>
      <c r="GJ35" s="169" t="s">
        <v>557</v>
      </c>
      <c r="GK35" s="703">
        <v>1722.9980820000001</v>
      </c>
      <c r="GL35" s="704">
        <v>1879.12611164032</v>
      </c>
      <c r="GM35" s="1139">
        <v>1888.8291154516401</v>
      </c>
      <c r="GO35" s="169" t="s">
        <v>557</v>
      </c>
      <c r="GP35" s="703">
        <v>1571.6814220000001</v>
      </c>
      <c r="GQ35" s="704">
        <v>46.290736000000003</v>
      </c>
      <c r="GR35" s="173">
        <v>105.025924</v>
      </c>
      <c r="GS35" s="703">
        <v>1586.8520094880437</v>
      </c>
      <c r="GT35" s="704">
        <v>95.038664813992838</v>
      </c>
      <c r="GU35" s="173">
        <v>197.23543733828356</v>
      </c>
      <c r="GV35" s="1137">
        <v>1448.1225474472101</v>
      </c>
      <c r="GW35" s="1138">
        <v>228.10026909676699</v>
      </c>
      <c r="GX35" s="1139">
        <v>212.60629890766501</v>
      </c>
      <c r="GZ35" s="169" t="s">
        <v>557</v>
      </c>
      <c r="HA35" s="172">
        <v>0</v>
      </c>
      <c r="HB35" s="337">
        <v>1687.756457</v>
      </c>
      <c r="HC35" s="173">
        <f t="shared" si="7"/>
        <v>35.241625000000113</v>
      </c>
      <c r="HD35" s="703">
        <v>3.6302476691449699</v>
      </c>
      <c r="HE35" s="704">
        <v>1844.0690478772065</v>
      </c>
      <c r="HF35" s="173">
        <f t="shared" si="8"/>
        <v>31.426816093968682</v>
      </c>
      <c r="HG35" s="583">
        <v>1.9142844726015</v>
      </c>
      <c r="HH35" s="1138">
        <v>1862.35971676282</v>
      </c>
      <c r="HI35" s="173">
        <f t="shared" si="9"/>
        <v>24.555114216218499</v>
      </c>
      <c r="HK35" s="169" t="s">
        <v>557</v>
      </c>
      <c r="HL35" s="704">
        <v>1571.6814220000001</v>
      </c>
      <c r="HM35" s="704">
        <v>3825.0226870000001</v>
      </c>
      <c r="HN35" s="776">
        <f t="shared" si="10"/>
        <v>2.433713749783065</v>
      </c>
      <c r="HO35" s="703">
        <v>1586.8520094880437</v>
      </c>
      <c r="HP35" s="704">
        <v>3701.1133623864598</v>
      </c>
      <c r="HQ35" s="776">
        <f t="shared" si="11"/>
        <v>2.3323620225811275</v>
      </c>
      <c r="HR35" s="1138">
        <v>1448.1225474472101</v>
      </c>
      <c r="HS35" s="1138">
        <v>3354.2546577217599</v>
      </c>
      <c r="HT35" s="784">
        <f t="shared" si="12"/>
        <v>2.3162781793811109</v>
      </c>
      <c r="HV35" s="169" t="s">
        <v>557</v>
      </c>
      <c r="HW35" s="172">
        <v>0</v>
      </c>
      <c r="HX35" s="337">
        <v>0</v>
      </c>
      <c r="HY35" s="787">
        <v>0</v>
      </c>
      <c r="HZ35" s="704">
        <v>1536.439797</v>
      </c>
      <c r="IA35" s="704">
        <v>3768.579937</v>
      </c>
      <c r="IB35" s="787">
        <f t="shared" si="14"/>
        <v>2.4528002622415799</v>
      </c>
      <c r="IC35" s="703">
        <v>3.6302476691449699</v>
      </c>
      <c r="ID35" s="704">
        <v>10.89074300743491</v>
      </c>
      <c r="IE35" s="787">
        <f t="shared" si="15"/>
        <v>3</v>
      </c>
      <c r="IF35" s="704">
        <v>1553.3592770549317</v>
      </c>
      <c r="IG35" s="704">
        <v>3639.935216798392</v>
      </c>
      <c r="IH35" s="776">
        <f t="shared" si="16"/>
        <v>2.3432667963972076</v>
      </c>
      <c r="II35" s="1137">
        <v>1.9142844726015</v>
      </c>
      <c r="IJ35" s="1138">
        <v>6.6999956541052397</v>
      </c>
      <c r="IK35" s="1170">
        <f t="shared" si="17"/>
        <v>3.4999999999999947</v>
      </c>
      <c r="IL35" s="1138">
        <v>1423.56743128726</v>
      </c>
      <c r="IM35" s="1138">
        <v>3308.0932438949199</v>
      </c>
      <c r="IN35" s="1171">
        <f t="shared" si="18"/>
        <v>2.3238050907806866</v>
      </c>
      <c r="IP35" s="169" t="s">
        <v>557</v>
      </c>
      <c r="IQ35" s="703">
        <v>509.97207400000002</v>
      </c>
      <c r="IR35" s="704">
        <v>275.152445</v>
      </c>
      <c r="IS35" s="704">
        <v>450.041065</v>
      </c>
      <c r="IT35" s="704">
        <v>275.79694799999999</v>
      </c>
      <c r="IU35" s="704">
        <v>60.718890000000002</v>
      </c>
      <c r="IV35" s="704">
        <v>3825.0226870000001</v>
      </c>
      <c r="IW35" s="703">
        <v>558.5524657422369</v>
      </c>
      <c r="IX35" s="704">
        <v>296.60368816884579</v>
      </c>
      <c r="IY35" s="704">
        <v>454.11359053222878</v>
      </c>
      <c r="IZ35" s="704">
        <v>211.78931952125129</v>
      </c>
      <c r="JA35" s="704">
        <v>65.792945523480967</v>
      </c>
      <c r="JB35" s="173">
        <v>3701.1133623864598</v>
      </c>
      <c r="JC35" s="1137">
        <v>504.48300596864402</v>
      </c>
      <c r="JD35" s="1138">
        <v>311.40466409406503</v>
      </c>
      <c r="JE35" s="1138">
        <v>397.055424882973</v>
      </c>
      <c r="JF35" s="1138">
        <v>171.48290255944099</v>
      </c>
      <c r="JG35" s="1138">
        <v>63.696549942086101</v>
      </c>
      <c r="JH35" s="1139">
        <v>3354.2546577217599</v>
      </c>
      <c r="JJ35" s="169" t="s">
        <v>557</v>
      </c>
      <c r="JK35" s="172">
        <v>28.135204999999999</v>
      </c>
      <c r="JL35" s="337">
        <v>614.35764500000005</v>
      </c>
      <c r="JM35" s="337">
        <v>910.82404799999995</v>
      </c>
      <c r="JN35" s="173">
        <v>18.364523999999999</v>
      </c>
      <c r="JO35" s="703">
        <v>85.333462929079062</v>
      </c>
      <c r="JP35" s="704">
        <v>677.88212550433036</v>
      </c>
      <c r="JQ35" s="704">
        <v>791.93471945328884</v>
      </c>
      <c r="JR35" s="173">
        <v>31.701701601345349</v>
      </c>
      <c r="JS35" s="1137">
        <v>87.696950021263802</v>
      </c>
      <c r="JT35" s="1138">
        <v>642.526039525074</v>
      </c>
      <c r="JU35" s="1138">
        <v>692.28354404024606</v>
      </c>
      <c r="JV35" s="1139">
        <v>25.616013860621699</v>
      </c>
      <c r="JX35" s="169" t="s">
        <v>557</v>
      </c>
      <c r="JY35" s="703">
        <v>468.50574411938902</v>
      </c>
      <c r="JZ35" s="704">
        <v>481.59476857594399</v>
      </c>
      <c r="KA35" s="704">
        <v>221.78299029548</v>
      </c>
      <c r="KB35" s="173">
        <v>276.23904445639499</v>
      </c>
      <c r="KC35" s="603"/>
      <c r="KD35" s="169" t="s">
        <v>557</v>
      </c>
      <c r="KE35" s="703">
        <v>4.21912495676274</v>
      </c>
      <c r="KF35" s="704">
        <v>9.1616937679686092</v>
      </c>
      <c r="KG35" s="704">
        <v>545.93218911259203</v>
      </c>
      <c r="KH35" s="704">
        <v>265.06425708523102</v>
      </c>
      <c r="KI35" s="704">
        <v>495.84279056390602</v>
      </c>
      <c r="KJ35" s="173">
        <v>102.39023356449501</v>
      </c>
      <c r="KK35" s="703">
        <v>0</v>
      </c>
      <c r="KL35" s="704">
        <v>0</v>
      </c>
      <c r="KM35" s="704">
        <v>0</v>
      </c>
      <c r="KN35" s="704">
        <v>0</v>
      </c>
      <c r="KO35" s="704">
        <v>0.95714223630074802</v>
      </c>
      <c r="KP35" s="173">
        <v>0.95714223630074802</v>
      </c>
      <c r="KQ35" s="703">
        <v>4.21912495676274</v>
      </c>
      <c r="KR35" s="704">
        <v>9.1616937679686092</v>
      </c>
      <c r="KS35" s="704">
        <v>551.22000386228501</v>
      </c>
      <c r="KT35" s="704">
        <v>269.01728271467698</v>
      </c>
      <c r="KU35" s="704">
        <v>507.32849739951502</v>
      </c>
      <c r="KV35" s="173">
        <v>106.21880250969799</v>
      </c>
      <c r="KW35" s="429"/>
      <c r="KX35" s="169" t="s">
        <v>557</v>
      </c>
      <c r="KY35" s="172">
        <f t="shared" si="19"/>
        <v>946.14985200000012</v>
      </c>
      <c r="KZ35" s="337">
        <v>563.96279100000004</v>
      </c>
      <c r="LA35" s="173">
        <v>61.568778999999999</v>
      </c>
      <c r="LB35" s="172">
        <f t="shared" si="3"/>
        <v>944.27391440355086</v>
      </c>
      <c r="LC35" s="704">
        <v>566.13103833836146</v>
      </c>
      <c r="LD35" s="173">
        <v>76.447056746131395</v>
      </c>
      <c r="LE35" s="172">
        <f t="shared" si="4"/>
        <v>861.75494478623216</v>
      </c>
      <c r="LF35" s="1138">
        <v>526.38530355557396</v>
      </c>
      <c r="LG35" s="1139">
        <v>59.982299105404003</v>
      </c>
      <c r="LH35" s="426"/>
      <c r="LI35" s="169" t="s">
        <v>557</v>
      </c>
      <c r="LJ35" s="703">
        <v>1081.4743490000001</v>
      </c>
      <c r="LK35" s="704">
        <v>734.57958599999995</v>
      </c>
      <c r="LL35" s="704">
        <v>346.89476200000001</v>
      </c>
      <c r="LM35" s="704">
        <v>565.35159699999997</v>
      </c>
      <c r="LN35" s="704">
        <v>73.618069000000006</v>
      </c>
      <c r="LO35" s="173">
        <v>178.215474</v>
      </c>
      <c r="LP35" s="703">
        <v>1079.7791528440364</v>
      </c>
      <c r="LQ35" s="704">
        <v>692.98517361152722</v>
      </c>
      <c r="LR35" s="704">
        <v>386.79397923250912</v>
      </c>
      <c r="LS35" s="704">
        <v>555.20464531414746</v>
      </c>
      <c r="LT35" s="704">
        <v>56.947627118380993</v>
      </c>
      <c r="LU35" s="173">
        <v>280.11318862147391</v>
      </c>
      <c r="LV35" s="1137">
        <v>973.00527897702898</v>
      </c>
      <c r="LW35" s="1138">
        <v>613.73628679033004</v>
      </c>
      <c r="LX35" s="1138">
        <v>359.26899218669899</v>
      </c>
      <c r="LY35" s="1138">
        <v>477.87112414730001</v>
      </c>
      <c r="LZ35" s="1138">
        <v>29.6172745934505</v>
      </c>
      <c r="MA35" s="1139">
        <v>238.636614609714</v>
      </c>
      <c r="MC35" s="169" t="s">
        <v>557</v>
      </c>
      <c r="MD35" s="703">
        <v>0</v>
      </c>
      <c r="ME35" s="704">
        <v>10.471159999999999</v>
      </c>
      <c r="MF35" s="704">
        <v>54.161299</v>
      </c>
      <c r="MG35" s="704">
        <v>131.45534599999999</v>
      </c>
      <c r="MH35" s="704">
        <v>288.29032000000001</v>
      </c>
      <c r="MI35" s="173">
        <v>250.20146099999999</v>
      </c>
      <c r="MJ35" s="703">
        <v>0</v>
      </c>
      <c r="MK35" s="704">
        <v>19.342642324710621</v>
      </c>
      <c r="ML35" s="704">
        <v>97.20952750322796</v>
      </c>
      <c r="MM35" s="704">
        <v>154.45554937778689</v>
      </c>
      <c r="MN35" s="704">
        <v>241.89550697406261</v>
      </c>
      <c r="MO35" s="173">
        <v>180.08194743173911</v>
      </c>
      <c r="MP35" s="1137">
        <v>0</v>
      </c>
      <c r="MQ35" s="1138">
        <v>21.4802223130302</v>
      </c>
      <c r="MR35" s="1138">
        <v>94.002966605991801</v>
      </c>
      <c r="MS35" s="1138">
        <v>127.161085186696</v>
      </c>
      <c r="MT35" s="1138">
        <v>195.080222092637</v>
      </c>
      <c r="MU35" s="1139">
        <v>176.01179059197599</v>
      </c>
      <c r="MW35" s="169" t="s">
        <v>557</v>
      </c>
      <c r="MX35" s="172">
        <v>735.60629700000004</v>
      </c>
      <c r="MY35" s="337">
        <v>720.99796000000003</v>
      </c>
      <c r="MZ35" s="337">
        <v>14.608337000000001</v>
      </c>
      <c r="NA35" s="703">
        <v>696.65179744301565</v>
      </c>
      <c r="NB35" s="704">
        <v>666.70372028750307</v>
      </c>
      <c r="NC35" s="173">
        <v>29.948077155512632</v>
      </c>
      <c r="ND35" s="1137">
        <v>628.10004805248002</v>
      </c>
      <c r="NE35" s="1138">
        <v>581.12068374129296</v>
      </c>
      <c r="NF35" s="1139">
        <v>46.979364311187098</v>
      </c>
      <c r="NH35" s="169" t="s">
        <v>557</v>
      </c>
      <c r="NI35" s="703">
        <v>432.31056232249546</v>
      </c>
      <c r="NJ35" s="173">
        <v>234.39315796500756</v>
      </c>
      <c r="NK35" s="703">
        <v>22.651205654879242</v>
      </c>
      <c r="NL35" s="704">
        <v>7.2968715006333902</v>
      </c>
      <c r="NM35" s="173">
        <v>0</v>
      </c>
      <c r="NN35" s="1137">
        <v>366.498437412616</v>
      </c>
      <c r="NO35" s="1139">
        <v>214.62224632867751</v>
      </c>
      <c r="NP35" s="1137">
        <v>34.685746347582302</v>
      </c>
      <c r="NQ35" s="1138">
        <v>9.4221912547025806</v>
      </c>
      <c r="NR35" s="1139">
        <v>2.8714267089022401</v>
      </c>
      <c r="NS35" s="136"/>
      <c r="NT35" s="169" t="s">
        <v>557</v>
      </c>
      <c r="NU35" s="703">
        <v>114.86383132631092</v>
      </c>
      <c r="NV35" s="704">
        <v>42.394653585400043</v>
      </c>
      <c r="NW35" s="704">
        <v>20.49216240616067</v>
      </c>
      <c r="NX35" s="173">
        <v>56.64251064713595</v>
      </c>
      <c r="NY35" s="1137">
        <v>95.855353021227899</v>
      </c>
      <c r="NZ35" s="1138">
        <v>34.660035577372099</v>
      </c>
      <c r="OA35" s="1138">
        <v>20.569921393168499</v>
      </c>
      <c r="OB35" s="1139">
        <v>63.536936336909001</v>
      </c>
      <c r="OC35" s="553"/>
      <c r="OD35" s="169" t="s">
        <v>557</v>
      </c>
      <c r="OE35" s="703">
        <v>103.87747644072699</v>
      </c>
      <c r="OF35" s="704">
        <v>157.608533321896</v>
      </c>
      <c r="OG35" s="704">
        <v>73.063205580804095</v>
      </c>
      <c r="OH35" s="704">
        <v>56.096008876245598</v>
      </c>
      <c r="OI35" s="704">
        <v>522.11939571447999</v>
      </c>
      <c r="OJ35" s="704">
        <v>48.323536870310903</v>
      </c>
      <c r="OK35" s="173">
        <v>39.7424618491807</v>
      </c>
      <c r="OL35" s="703">
        <v>150.26252363787</v>
      </c>
      <c r="OM35" s="704">
        <v>157.608533321896</v>
      </c>
      <c r="ON35" s="704">
        <v>76.742543417702194</v>
      </c>
      <c r="OO35" s="704">
        <v>57.053151112546303</v>
      </c>
      <c r="OP35" s="704">
        <v>685.79073880681506</v>
      </c>
      <c r="OQ35" s="704">
        <v>243.585546802067</v>
      </c>
      <c r="OR35" s="173">
        <v>1035.64244134151</v>
      </c>
      <c r="OT35" s="169" t="s">
        <v>557</v>
      </c>
      <c r="OU35" s="172">
        <v>741.27001300000006</v>
      </c>
      <c r="OV35" s="337">
        <v>412.83199300000001</v>
      </c>
      <c r="OW35" s="337">
        <v>184.96015800000001</v>
      </c>
      <c r="OX35" s="173">
        <v>198.05831999999998</v>
      </c>
      <c r="OY35" s="703">
        <v>618.20716320965141</v>
      </c>
      <c r="OZ35" s="704">
        <v>298.72180010532554</v>
      </c>
      <c r="PA35" s="704">
        <v>194.20091243146604</v>
      </c>
      <c r="PB35" s="173">
        <v>397.26136598249735</v>
      </c>
      <c r="PC35" s="1137">
        <v>479.60110418167659</v>
      </c>
      <c r="PD35" s="1138">
        <v>232.22257230211201</v>
      </c>
      <c r="PE35" s="1138">
        <v>236.61927068033401</v>
      </c>
      <c r="PF35" s="1139">
        <v>407.34752758859497</v>
      </c>
      <c r="PH35" s="169" t="s">
        <v>557</v>
      </c>
      <c r="PI35" s="703">
        <v>183.9785325075712</v>
      </c>
      <c r="PJ35" s="704">
        <v>109.19829609166899</v>
      </c>
      <c r="PK35" s="704">
        <v>129.25564074850399</v>
      </c>
      <c r="PL35" s="173">
        <v>260.60631813045342</v>
      </c>
      <c r="PM35" s="703">
        <v>295.6225716741065</v>
      </c>
      <c r="PN35" s="704">
        <v>123.02427621044301</v>
      </c>
      <c r="PO35" s="704">
        <v>107.36362993183</v>
      </c>
      <c r="PP35" s="173">
        <v>146.7412094581411</v>
      </c>
      <c r="PQ35" s="65"/>
      <c r="PR35" s="169" t="s">
        <v>557</v>
      </c>
      <c r="PS35" s="1038">
        <v>15.1753140527117</v>
      </c>
      <c r="PT35" s="1039">
        <v>99.718300741978496</v>
      </c>
      <c r="PU35" s="1039">
        <v>37.121676926111903</v>
      </c>
      <c r="PV35" s="1039">
        <v>6.1194221209291202</v>
      </c>
      <c r="PW35" s="1039">
        <v>238.93120581022399</v>
      </c>
      <c r="PX35" s="1040">
        <v>231.03412840052499</v>
      </c>
      <c r="PZ35" s="169" t="s">
        <v>557</v>
      </c>
      <c r="QA35" s="1038">
        <v>384.59327138631699</v>
      </c>
      <c r="QB35" s="1039">
        <v>243.506776666164</v>
      </c>
      <c r="QC35" s="1039">
        <v>165.95357386216</v>
      </c>
      <c r="QD35" s="1039">
        <v>42.379516351858797</v>
      </c>
      <c r="QE35" s="1039">
        <v>35.1736864521448</v>
      </c>
      <c r="QF35" s="1040">
        <v>0</v>
      </c>
    </row>
    <row r="36" spans="1:448" ht="13.5" customHeight="1">
      <c r="A36" s="591" t="s">
        <v>501</v>
      </c>
      <c r="B36" s="167" t="s">
        <v>558</v>
      </c>
      <c r="C36" s="1103">
        <v>1929.0423000000001</v>
      </c>
      <c r="D36" s="690">
        <v>1647.232827523442</v>
      </c>
      <c r="E36" s="691">
        <v>1189.5104065041601</v>
      </c>
      <c r="F36" s="428"/>
      <c r="G36" s="169" t="s">
        <v>558</v>
      </c>
      <c r="H36" s="577">
        <f t="shared" si="5"/>
        <v>-3.1091763998477018E-2</v>
      </c>
      <c r="I36" s="668">
        <f t="shared" si="6"/>
        <v>-6.3036546549189665E-2</v>
      </c>
      <c r="J36" s="612"/>
      <c r="K36" s="63"/>
      <c r="L36" s="167" t="s">
        <v>558</v>
      </c>
      <c r="M36" s="636">
        <v>42</v>
      </c>
      <c r="N36" s="637">
        <v>29</v>
      </c>
      <c r="O36" s="637">
        <v>37</v>
      </c>
      <c r="P36" s="637">
        <v>31</v>
      </c>
      <c r="Q36" s="637">
        <v>44</v>
      </c>
      <c r="R36" s="637">
        <v>51</v>
      </c>
      <c r="S36" s="637">
        <v>46</v>
      </c>
      <c r="T36" s="637">
        <v>36</v>
      </c>
      <c r="U36" s="1138">
        <v>25</v>
      </c>
      <c r="V36" s="1138">
        <v>25</v>
      </c>
      <c r="W36" s="1139">
        <v>25</v>
      </c>
      <c r="X36" s="169" t="s">
        <v>558</v>
      </c>
      <c r="Y36" s="666">
        <v>35.5</v>
      </c>
      <c r="Z36" s="667">
        <v>34</v>
      </c>
      <c r="AA36" s="667">
        <v>47.5</v>
      </c>
      <c r="AB36" s="667">
        <v>41</v>
      </c>
      <c r="AC36" s="667">
        <v>41</v>
      </c>
      <c r="AD36" s="668">
        <v>-4.2253521126760563E-2</v>
      </c>
      <c r="AE36" s="668">
        <v>0.39705882352941174</v>
      </c>
      <c r="AF36" s="668">
        <v>-0.1368421052631579</v>
      </c>
      <c r="AG36" s="1213">
        <v>0.39705882352941174</v>
      </c>
      <c r="AN36" s="169" t="s">
        <v>558</v>
      </c>
      <c r="AO36" s="636">
        <v>0</v>
      </c>
      <c r="AP36" s="637">
        <v>26.160043999999999</v>
      </c>
      <c r="AQ36" s="637">
        <v>36.059876000000003</v>
      </c>
      <c r="AR36" s="637">
        <v>92.013850000000005</v>
      </c>
      <c r="AS36" s="637">
        <v>297.984329</v>
      </c>
      <c r="AT36" s="637">
        <v>291.22928000000002</v>
      </c>
      <c r="AU36" s="637">
        <v>178.43399500000001</v>
      </c>
      <c r="AV36" s="173">
        <v>468.74525299999999</v>
      </c>
      <c r="AW36" s="636">
        <v>0</v>
      </c>
      <c r="AX36" s="637">
        <v>31.93773377841417</v>
      </c>
      <c r="AY36" s="637">
        <v>29.500085630222831</v>
      </c>
      <c r="AZ36" s="637">
        <v>71.305008396851548</v>
      </c>
      <c r="BA36" s="637">
        <v>175.60929884338245</v>
      </c>
      <c r="BB36" s="637">
        <v>269.790163982796</v>
      </c>
      <c r="BC36" s="637">
        <v>142.57813827816062</v>
      </c>
      <c r="BD36" s="173">
        <v>488.13796876819328</v>
      </c>
      <c r="BE36" s="1137">
        <v>0</v>
      </c>
      <c r="BF36" s="1138">
        <v>14.6417144680366</v>
      </c>
      <c r="BG36" s="1138">
        <v>10.484987918045301</v>
      </c>
      <c r="BH36" s="1138">
        <v>35.042250006172203</v>
      </c>
      <c r="BI36" s="1138">
        <v>211.263747812139</v>
      </c>
      <c r="BJ36" s="1138">
        <v>173.170303000822</v>
      </c>
      <c r="BK36" s="1138">
        <v>105.343172888106</v>
      </c>
      <c r="BL36" s="1139">
        <v>288.34158827661599</v>
      </c>
      <c r="BN36" s="169" t="s">
        <v>558</v>
      </c>
      <c r="BO36" s="647">
        <v>538.41567199999997</v>
      </c>
      <c r="BP36" s="648">
        <v>502.63771000000003</v>
      </c>
      <c r="BQ36" s="648">
        <v>347.09257200000002</v>
      </c>
      <c r="BR36" s="648">
        <v>348.28045600000002</v>
      </c>
      <c r="BS36" s="648">
        <v>128.45972900000001</v>
      </c>
      <c r="BT36" s="173">
        <v>64.15616</v>
      </c>
      <c r="BU36" s="647">
        <v>438.37442984542088</v>
      </c>
      <c r="BV36" s="648">
        <v>394.38232220590953</v>
      </c>
      <c r="BW36" s="648">
        <v>307.98886142474902</v>
      </c>
      <c r="BX36" s="648">
        <v>330.51303851367823</v>
      </c>
      <c r="BY36" s="648">
        <v>119.21097458321869</v>
      </c>
      <c r="BZ36" s="173">
        <v>56.763200950465503</v>
      </c>
      <c r="CA36" s="1137">
        <v>351.22264213422602</v>
      </c>
      <c r="CB36" s="1138">
        <v>222.05143254350699</v>
      </c>
      <c r="CC36" s="1138">
        <v>244.88238985782701</v>
      </c>
      <c r="CD36" s="1138">
        <v>202.54516014605301</v>
      </c>
      <c r="CE36" s="1138">
        <v>118.827462239754</v>
      </c>
      <c r="CF36" s="1139">
        <v>49.9813195827954</v>
      </c>
      <c r="CG36" s="429"/>
      <c r="CH36" s="169" t="s">
        <v>558</v>
      </c>
      <c r="CI36" s="172">
        <v>712.71593199999995</v>
      </c>
      <c r="CJ36" s="337">
        <v>1078.348849</v>
      </c>
      <c r="CK36" s="337">
        <v>137.977519</v>
      </c>
      <c r="CL36" s="647">
        <v>572.01947367504533</v>
      </c>
      <c r="CM36" s="648">
        <v>943.50547733271901</v>
      </c>
      <c r="CN36" s="648">
        <v>131.70787651567747</v>
      </c>
      <c r="CO36" s="1137">
        <v>452.297986695193</v>
      </c>
      <c r="CP36" s="1138">
        <v>626.30588443669296</v>
      </c>
      <c r="CQ36" s="1139">
        <v>110.90653537227701</v>
      </c>
      <c r="CR36" s="429"/>
      <c r="CS36" s="232" t="s">
        <v>646</v>
      </c>
      <c r="CT36" s="1001">
        <v>-106.27480707792024</v>
      </c>
      <c r="CU36" s="1001">
        <v>-191.13078598793021</v>
      </c>
      <c r="CV36" s="1003">
        <v>-647.99254821606689</v>
      </c>
      <c r="CW36" s="1003">
        <v>-1043.119227953357</v>
      </c>
      <c r="CX36" s="1001">
        <v>-100.926226346085</v>
      </c>
      <c r="CY36" s="1001">
        <v>187.24176509449799</v>
      </c>
      <c r="CZ36" s="1001">
        <v>-740.46882416191033</v>
      </c>
      <c r="DA36" s="1004">
        <v>1128.623347402799</v>
      </c>
      <c r="DB36" s="426"/>
      <c r="DC36" s="426"/>
      <c r="DD36" s="426"/>
      <c r="DE36" s="426"/>
      <c r="DG36" s="169" t="s">
        <v>558</v>
      </c>
      <c r="DH36" s="1147" t="s">
        <v>746</v>
      </c>
      <c r="DI36" s="1150" t="s">
        <v>897</v>
      </c>
      <c r="DJ36" s="704" t="s">
        <v>898</v>
      </c>
      <c r="DK36" s="704" t="s">
        <v>899</v>
      </c>
      <c r="DL36" s="337" t="s">
        <v>900</v>
      </c>
      <c r="DM36" s="174" t="s">
        <v>901</v>
      </c>
      <c r="DO36" s="167" t="s">
        <v>558</v>
      </c>
      <c r="DP36" s="704">
        <v>757.74525900000003</v>
      </c>
      <c r="DQ36" s="337">
        <v>684.56632583667783</v>
      </c>
      <c r="DR36" s="1139">
        <v>579.01684667011705</v>
      </c>
      <c r="DS36" s="63"/>
      <c r="DT36" s="169" t="s">
        <v>558</v>
      </c>
      <c r="DU36" s="172">
        <v>1929.0423000000001</v>
      </c>
      <c r="DV36" s="337">
        <v>1633.23283846462</v>
      </c>
      <c r="DW36" s="1139">
        <v>1189.5104065041601</v>
      </c>
      <c r="DX36" s="63"/>
      <c r="DY36" s="169" t="s">
        <v>558</v>
      </c>
      <c r="DZ36" s="1089">
        <f t="shared" si="0"/>
        <v>2.5457662414750919</v>
      </c>
      <c r="EA36" s="787">
        <f t="shared" si="1"/>
        <v>2.3857919632089422</v>
      </c>
      <c r="EB36" s="776">
        <f t="shared" si="2"/>
        <v>2.0543623442822887</v>
      </c>
      <c r="ED36" s="541"/>
      <c r="EE36" s="169" t="s">
        <v>558</v>
      </c>
      <c r="EF36" s="735">
        <v>296.353857</v>
      </c>
      <c r="EG36" s="736">
        <v>27.585407</v>
      </c>
      <c r="EH36" s="736">
        <v>51.728077999999996</v>
      </c>
      <c r="EI36" s="736">
        <v>212.10978499999999</v>
      </c>
      <c r="EJ36" s="736">
        <v>169.96813299999999</v>
      </c>
      <c r="EK36" s="703">
        <v>338.83378953464455</v>
      </c>
      <c r="EL36" s="704">
        <v>17.805801947503252</v>
      </c>
      <c r="EM36" s="704">
        <v>67.552456291943145</v>
      </c>
      <c r="EN36" s="704">
        <v>132.1064682697945</v>
      </c>
      <c r="EO36" s="704">
        <v>128.26780979279243</v>
      </c>
      <c r="EP36" s="1137">
        <v>316.19592354658198</v>
      </c>
      <c r="EQ36" s="1138">
        <v>19.445092130894199</v>
      </c>
      <c r="ER36" s="1138">
        <v>26.628374845359399</v>
      </c>
      <c r="ES36" s="1138">
        <v>79.908133506476702</v>
      </c>
      <c r="ET36" s="1139">
        <v>136.83932264080499</v>
      </c>
      <c r="EV36" s="169" t="s">
        <v>558</v>
      </c>
      <c r="EW36" s="703">
        <v>20.887226999999999</v>
      </c>
      <c r="EX36" s="704">
        <v>153.640952</v>
      </c>
      <c r="EY36" s="704">
        <v>94.044252</v>
      </c>
      <c r="EZ36" s="704">
        <v>27.781424999999999</v>
      </c>
      <c r="FA36" s="703">
        <v>348.91572400000001</v>
      </c>
      <c r="FB36" s="704">
        <v>735.39240800000005</v>
      </c>
      <c r="FC36" s="704">
        <v>266.19809299999997</v>
      </c>
      <c r="FD36" s="704">
        <v>40.120401999999999</v>
      </c>
      <c r="FE36" s="703">
        <v>17.900772824748579</v>
      </c>
      <c r="FF36" s="704">
        <v>203.37766667931376</v>
      </c>
      <c r="FG36" s="704">
        <v>85.585038474309513</v>
      </c>
      <c r="FH36" s="173">
        <v>31.970311556272669</v>
      </c>
      <c r="FI36" s="703">
        <v>296.31975617963417</v>
      </c>
      <c r="FJ36" s="704">
        <v>617.02748610281606</v>
      </c>
      <c r="FK36" s="746">
        <v>235.36545427124832</v>
      </c>
      <c r="FL36" s="747">
        <v>46.145712065500597</v>
      </c>
      <c r="FM36" s="1137">
        <v>37.197096701535102</v>
      </c>
      <c r="FN36" s="1138">
        <v>133.40560757078899</v>
      </c>
      <c r="FO36" s="1138">
        <v>126.67584229289299</v>
      </c>
      <c r="FP36" s="1139">
        <v>18.917376981364701</v>
      </c>
      <c r="FQ36" s="1137">
        <v>157.99932237975599</v>
      </c>
      <c r="FR36" s="1138">
        <v>449.58354019039098</v>
      </c>
      <c r="FS36" s="1138">
        <v>202.915380413956</v>
      </c>
      <c r="FT36" s="1139">
        <v>27.789521385833901</v>
      </c>
      <c r="FV36" s="167" t="s">
        <v>558</v>
      </c>
      <c r="FW36" s="337">
        <v>76.075854000000007</v>
      </c>
      <c r="FX36" s="337">
        <v>171.799948</v>
      </c>
      <c r="FY36" s="337">
        <v>65.809295000000006</v>
      </c>
      <c r="FZ36" s="173">
        <v>120.12089800000001</v>
      </c>
      <c r="GA36" s="703">
        <v>81.822827678416402</v>
      </c>
      <c r="GB36" s="704">
        <v>96.067599383134166</v>
      </c>
      <c r="GC36" s="704">
        <v>46.508607423236647</v>
      </c>
      <c r="GD36" s="173">
        <v>114.069580322173</v>
      </c>
      <c r="GE36" s="1137">
        <v>62.988275910669699</v>
      </c>
      <c r="GF36" s="1138">
        <v>73.660502206776997</v>
      </c>
      <c r="GG36" s="1138">
        <v>27.725074994016101</v>
      </c>
      <c r="GH36" s="1139">
        <v>79.001977881178505</v>
      </c>
      <c r="GJ36" s="169" t="s">
        <v>558</v>
      </c>
      <c r="GK36" s="703">
        <v>828.99907499999995</v>
      </c>
      <c r="GL36" s="704">
        <v>759.4994650022827</v>
      </c>
      <c r="GM36" s="1139">
        <v>696.00058792443497</v>
      </c>
      <c r="GO36" s="169" t="s">
        <v>558</v>
      </c>
      <c r="GP36" s="703">
        <v>757.74525900000003</v>
      </c>
      <c r="GQ36" s="704">
        <v>0</v>
      </c>
      <c r="GR36" s="173">
        <v>71.253816</v>
      </c>
      <c r="GS36" s="703">
        <v>684.56632583667783</v>
      </c>
      <c r="GT36" s="704">
        <v>7.1817335399511499</v>
      </c>
      <c r="GU36" s="173">
        <v>67.751405625653774</v>
      </c>
      <c r="GV36" s="1137">
        <v>579.01684667011705</v>
      </c>
      <c r="GW36" s="1138">
        <v>8.8721353958357891</v>
      </c>
      <c r="GX36" s="1139">
        <v>108.11160585848199</v>
      </c>
      <c r="GZ36" s="169" t="s">
        <v>558</v>
      </c>
      <c r="HA36" s="172">
        <v>5.8330719999999996</v>
      </c>
      <c r="HB36" s="337">
        <v>807.93489499999998</v>
      </c>
      <c r="HC36" s="173">
        <f t="shared" si="7"/>
        <v>15.231107999999949</v>
      </c>
      <c r="HD36" s="703">
        <v>3.5579144048184301</v>
      </c>
      <c r="HE36" s="704">
        <v>745.32406171249943</v>
      </c>
      <c r="HF36" s="173">
        <f t="shared" si="8"/>
        <v>10.617488884964814</v>
      </c>
      <c r="HG36" s="583">
        <v>0</v>
      </c>
      <c r="HH36" s="1138">
        <v>696.00058792443497</v>
      </c>
      <c r="HI36" s="173">
        <f t="shared" si="9"/>
        <v>0</v>
      </c>
      <c r="HK36" s="169" t="s">
        <v>558</v>
      </c>
      <c r="HL36" s="704">
        <v>757.74525900000003</v>
      </c>
      <c r="HM36" s="704">
        <v>2403.9632700000002</v>
      </c>
      <c r="HN36" s="776">
        <f t="shared" si="10"/>
        <v>3.1725216904326419</v>
      </c>
      <c r="HO36" s="703">
        <v>684.56632583667783</v>
      </c>
      <c r="HP36" s="704">
        <v>2110.745027898221</v>
      </c>
      <c r="HQ36" s="776">
        <f t="shared" si="11"/>
        <v>3.0833316630327468</v>
      </c>
      <c r="HR36" s="1138">
        <v>579.01684667011705</v>
      </c>
      <c r="HS36" s="1138">
        <v>1717.2935391344499</v>
      </c>
      <c r="HT36" s="784">
        <f t="shared" si="12"/>
        <v>2.9658783660794632</v>
      </c>
      <c r="HV36" s="169" t="s">
        <v>558</v>
      </c>
      <c r="HW36" s="172">
        <v>2.916534</v>
      </c>
      <c r="HX36" s="337">
        <v>8.7496019999999994</v>
      </c>
      <c r="HY36" s="787">
        <v>0</v>
      </c>
      <c r="HZ36" s="704">
        <v>742.66704000000004</v>
      </c>
      <c r="IA36" s="704">
        <v>2358.7286130000002</v>
      </c>
      <c r="IB36" s="787">
        <f t="shared" si="14"/>
        <v>3.1760243634886502</v>
      </c>
      <c r="IC36" s="703">
        <v>0</v>
      </c>
      <c r="ID36" s="704">
        <v>0</v>
      </c>
      <c r="IE36" s="787" t="e">
        <f t="shared" si="15"/>
        <v>#DIV/0!</v>
      </c>
      <c r="IF36" s="704">
        <v>673.94883695171291</v>
      </c>
      <c r="IG36" s="704">
        <v>2071.8136215379136</v>
      </c>
      <c r="IH36" s="776">
        <f t="shared" si="16"/>
        <v>3.0741408070511365</v>
      </c>
      <c r="II36" s="1137">
        <v>0</v>
      </c>
      <c r="IJ36" s="1138">
        <v>0</v>
      </c>
      <c r="IK36" s="1170">
        <v>0</v>
      </c>
      <c r="IL36" s="1138">
        <v>579.01684667011705</v>
      </c>
      <c r="IM36" s="1138">
        <v>1717.2935391344499</v>
      </c>
      <c r="IN36" s="1171">
        <f t="shared" si="18"/>
        <v>2.9658783660794632</v>
      </c>
      <c r="IP36" s="169" t="s">
        <v>558</v>
      </c>
      <c r="IQ36" s="703">
        <v>66.984497000000005</v>
      </c>
      <c r="IR36" s="704">
        <v>135.52361500000001</v>
      </c>
      <c r="IS36" s="704">
        <v>311.96282100000002</v>
      </c>
      <c r="IT36" s="704">
        <v>134.822746</v>
      </c>
      <c r="IU36" s="704">
        <v>108.45158000000001</v>
      </c>
      <c r="IV36" s="704">
        <v>2403.9632700000002</v>
      </c>
      <c r="IW36" s="703">
        <v>82.205523504503773</v>
      </c>
      <c r="IX36" s="704">
        <v>203.57893735790367</v>
      </c>
      <c r="IY36" s="704">
        <v>156.22001905713125</v>
      </c>
      <c r="IZ36" s="704">
        <v>110.09797520159636</v>
      </c>
      <c r="JA36" s="704">
        <v>132.46387071554278</v>
      </c>
      <c r="JB36" s="173">
        <v>2110.745027898221</v>
      </c>
      <c r="JC36" s="1137">
        <v>57.787993016872299</v>
      </c>
      <c r="JD36" s="1138">
        <v>189.23765322234399</v>
      </c>
      <c r="JE36" s="1138">
        <v>152.41847105974</v>
      </c>
      <c r="JF36" s="1138">
        <v>98.936177095976703</v>
      </c>
      <c r="JG36" s="1138">
        <v>80.636552275183803</v>
      </c>
      <c r="JH36" s="1139">
        <v>1717.2935391344499</v>
      </c>
      <c r="JJ36" s="169" t="s">
        <v>558</v>
      </c>
      <c r="JK36" s="172">
        <v>2.916534</v>
      </c>
      <c r="JL36" s="337">
        <v>18.068534</v>
      </c>
      <c r="JM36" s="337">
        <v>730.59070299999996</v>
      </c>
      <c r="JN36" s="173">
        <v>6.1694889999999996</v>
      </c>
      <c r="JO36" s="703">
        <v>0</v>
      </c>
      <c r="JP36" s="704">
        <v>14.44872297818938</v>
      </c>
      <c r="JQ36" s="704">
        <v>670.11760285848845</v>
      </c>
      <c r="JR36" s="173">
        <v>0</v>
      </c>
      <c r="JS36" s="1137">
        <v>0</v>
      </c>
      <c r="JT36" s="1138">
        <v>11.01977978429295</v>
      </c>
      <c r="JU36" s="1138">
        <v>560.90915757079904</v>
      </c>
      <c r="JV36" s="1139">
        <v>7.0879093150257297</v>
      </c>
      <c r="JX36" s="169" t="s">
        <v>558</v>
      </c>
      <c r="JY36" s="703">
        <v>89.189794436794202</v>
      </c>
      <c r="JZ36" s="704">
        <v>143.70226276695999</v>
      </c>
      <c r="KA36" s="704">
        <v>144.62248265832</v>
      </c>
      <c r="KB36" s="173">
        <v>201.50230680804299</v>
      </c>
      <c r="KC36" s="603"/>
      <c r="KD36" s="169" t="s">
        <v>558</v>
      </c>
      <c r="KE36" s="703">
        <v>0</v>
      </c>
      <c r="KF36" s="704">
        <v>2.62124697951133</v>
      </c>
      <c r="KG36" s="704">
        <v>412.38750622052902</v>
      </c>
      <c r="KH36" s="704">
        <v>152.514702086097</v>
      </c>
      <c r="KI36" s="704">
        <v>10.182767894224799</v>
      </c>
      <c r="KJ36" s="173">
        <v>1.3106234897556699</v>
      </c>
      <c r="KK36" s="703">
        <v>0</v>
      </c>
      <c r="KL36" s="704">
        <v>0</v>
      </c>
      <c r="KM36" s="704">
        <v>0</v>
      </c>
      <c r="KN36" s="704">
        <v>0</v>
      </c>
      <c r="KO36" s="704">
        <v>0</v>
      </c>
      <c r="KP36" s="173">
        <v>0</v>
      </c>
      <c r="KQ36" s="703">
        <v>0</v>
      </c>
      <c r="KR36" s="704">
        <v>2.62124697951133</v>
      </c>
      <c r="KS36" s="704">
        <v>412.38750622052902</v>
      </c>
      <c r="KT36" s="704">
        <v>152.514702086097</v>
      </c>
      <c r="KU36" s="704">
        <v>10.182767894224799</v>
      </c>
      <c r="KV36" s="173">
        <v>1.3106234897556699</v>
      </c>
      <c r="KW36" s="429"/>
      <c r="KX36" s="169" t="s">
        <v>558</v>
      </c>
      <c r="KY36" s="172">
        <f t="shared" si="19"/>
        <v>476.18743000000006</v>
      </c>
      <c r="KZ36" s="337">
        <v>230.56353799999999</v>
      </c>
      <c r="LA36" s="173">
        <v>50.994290999999997</v>
      </c>
      <c r="LB36" s="172">
        <f t="shared" si="3"/>
        <v>449.22246831734719</v>
      </c>
      <c r="LC36" s="704">
        <v>203.2277270864592</v>
      </c>
      <c r="LD36" s="173">
        <v>32.116130432871451</v>
      </c>
      <c r="LE36" s="172">
        <f t="shared" si="4"/>
        <v>452.32101010922776</v>
      </c>
      <c r="LF36" s="1138">
        <v>111.239984574362</v>
      </c>
      <c r="LG36" s="1139">
        <v>15.4558519865273</v>
      </c>
      <c r="LH36" s="426"/>
      <c r="LI36" s="169" t="s">
        <v>558</v>
      </c>
      <c r="LJ36" s="703">
        <v>780.24786400000005</v>
      </c>
      <c r="LK36" s="704">
        <v>471.93491399999999</v>
      </c>
      <c r="LL36" s="704">
        <v>308.312949</v>
      </c>
      <c r="LM36" s="704">
        <v>132.578361</v>
      </c>
      <c r="LN36" s="704">
        <v>63.693745</v>
      </c>
      <c r="LO36" s="173">
        <v>276.12913900000001</v>
      </c>
      <c r="LP36" s="703">
        <v>613.75226935630008</v>
      </c>
      <c r="LQ36" s="704">
        <v>303.66631925285839</v>
      </c>
      <c r="LR36" s="704">
        <v>310.08595010344169</v>
      </c>
      <c r="LS36" s="704">
        <v>164.17412499677781</v>
      </c>
      <c r="LT36" s="704">
        <v>25.111566950519968</v>
      </c>
      <c r="LU36" s="173">
        <v>274.11255985874561</v>
      </c>
      <c r="LV36" s="1137">
        <v>473.37850898423397</v>
      </c>
      <c r="LW36" s="1138">
        <v>267.35721511108</v>
      </c>
      <c r="LX36" s="1138">
        <v>206.02129387315401</v>
      </c>
      <c r="LY36" s="1138">
        <v>67.951424217449002</v>
      </c>
      <c r="LZ36" s="1138">
        <v>19.280272825581498</v>
      </c>
      <c r="MA36" s="1139">
        <v>166.77102297039499</v>
      </c>
      <c r="MC36" s="169" t="s">
        <v>558</v>
      </c>
      <c r="MD36" s="703">
        <v>0</v>
      </c>
      <c r="ME36" s="704">
        <v>14.735557</v>
      </c>
      <c r="MF36" s="704">
        <v>29.921036000000001</v>
      </c>
      <c r="MG36" s="704">
        <v>64.415959999999998</v>
      </c>
      <c r="MH36" s="704">
        <v>188.11807200000001</v>
      </c>
      <c r="MI36" s="173">
        <v>174.74429000000001</v>
      </c>
      <c r="MJ36" s="703">
        <v>0</v>
      </c>
      <c r="MK36" s="704">
        <v>24.878156517712299</v>
      </c>
      <c r="ML36" s="704">
        <v>11.805543448894159</v>
      </c>
      <c r="MM36" s="704">
        <v>42.709951107870658</v>
      </c>
      <c r="MN36" s="704">
        <v>92.362726798280846</v>
      </c>
      <c r="MO36" s="173">
        <v>131.90994138010046</v>
      </c>
      <c r="MP36" s="1137">
        <v>0</v>
      </c>
      <c r="MQ36" s="1138">
        <v>10.205642265802</v>
      </c>
      <c r="MR36" s="1138">
        <v>2.62124697951133</v>
      </c>
      <c r="MS36" s="1138">
        <v>27.9849308244263</v>
      </c>
      <c r="MT36" s="1138">
        <v>132.24656217374999</v>
      </c>
      <c r="MU36" s="1139">
        <v>94.298832867590093</v>
      </c>
      <c r="MW36" s="169" t="s">
        <v>558</v>
      </c>
      <c r="MX36" s="172">
        <v>480.25309099999998</v>
      </c>
      <c r="MY36" s="337">
        <v>448.56916200000001</v>
      </c>
      <c r="MZ36" s="337">
        <v>31.68393</v>
      </c>
      <c r="NA36" s="703">
        <v>303.66631925285839</v>
      </c>
      <c r="NB36" s="704">
        <v>275.2302511108831</v>
      </c>
      <c r="NC36" s="173">
        <v>28.43606814197533</v>
      </c>
      <c r="ND36" s="1137">
        <v>268.66783860083501</v>
      </c>
      <c r="NE36" s="1138">
        <v>253.21970237601101</v>
      </c>
      <c r="NF36" s="1139">
        <v>15.4481362248246</v>
      </c>
      <c r="NH36" s="169" t="s">
        <v>558</v>
      </c>
      <c r="NI36" s="703">
        <v>178.66720268733792</v>
      </c>
      <c r="NJ36" s="173">
        <v>96.563048423545183</v>
      </c>
      <c r="NK36" s="703">
        <v>21.320244893449271</v>
      </c>
      <c r="NL36" s="704">
        <v>0</v>
      </c>
      <c r="NM36" s="173">
        <v>7.11582324852606</v>
      </c>
      <c r="NN36" s="1137">
        <v>161.89421419134499</v>
      </c>
      <c r="NO36" s="1139">
        <v>91.325488184665886</v>
      </c>
      <c r="NP36" s="1137">
        <v>14.137512735069</v>
      </c>
      <c r="NQ36" s="1138">
        <v>1.3106234897556699</v>
      </c>
      <c r="NR36" s="1139">
        <v>0</v>
      </c>
      <c r="NS36" s="136"/>
      <c r="NT36" s="169" t="s">
        <v>558</v>
      </c>
      <c r="NU36" s="703">
        <v>39.343168384830939</v>
      </c>
      <c r="NV36" s="704">
        <v>21.507113092158608</v>
      </c>
      <c r="NW36" s="704">
        <v>17.847645455446859</v>
      </c>
      <c r="NX36" s="173">
        <v>17.865121491108759</v>
      </c>
      <c r="NY36" s="1137">
        <v>52.973178168226198</v>
      </c>
      <c r="NZ36" s="1138">
        <v>25.352885704111099</v>
      </c>
      <c r="OA36" s="1138">
        <v>8.3793798572901608</v>
      </c>
      <c r="OB36" s="1139">
        <v>4.6200444550384203</v>
      </c>
      <c r="OC36" s="553"/>
      <c r="OD36" s="169" t="s">
        <v>558</v>
      </c>
      <c r="OE36" s="703">
        <v>65.911422213995095</v>
      </c>
      <c r="OF36" s="704">
        <v>131.800290756419</v>
      </c>
      <c r="OG36" s="704">
        <v>91.519435787131997</v>
      </c>
      <c r="OH36" s="704">
        <v>56.969950328138701</v>
      </c>
      <c r="OI36" s="704">
        <v>44.288727440646802</v>
      </c>
      <c r="OJ36" s="704">
        <v>7.2412914345497503</v>
      </c>
      <c r="OK36" s="173">
        <v>21.539902050845399</v>
      </c>
      <c r="OL36" s="703">
        <v>76.931201998287804</v>
      </c>
      <c r="OM36" s="704">
        <v>131.800290756419</v>
      </c>
      <c r="ON36" s="704">
        <v>94.140682766643295</v>
      </c>
      <c r="OO36" s="704">
        <v>58.2805738178944</v>
      </c>
      <c r="OP36" s="704">
        <v>99.718748561861105</v>
      </c>
      <c r="OQ36" s="704">
        <v>64.052110163751394</v>
      </c>
      <c r="OR36" s="173">
        <v>616.23633182643005</v>
      </c>
      <c r="OT36" s="169" t="s">
        <v>558</v>
      </c>
      <c r="OU36" s="172">
        <v>683.59382700000003</v>
      </c>
      <c r="OV36" s="337">
        <v>209.12854400000001</v>
      </c>
      <c r="OW36" s="337">
        <v>133.79647499999999</v>
      </c>
      <c r="OX36" s="173">
        <v>117.739638</v>
      </c>
      <c r="OY36" s="703">
        <v>513.00670473908258</v>
      </c>
      <c r="OZ36" s="704">
        <v>210.89561807863089</v>
      </c>
      <c r="PA36" s="704">
        <v>178.5779759739834</v>
      </c>
      <c r="PB36" s="173">
        <v>87.578889799721424</v>
      </c>
      <c r="PC36" s="1137">
        <v>290.46749068330672</v>
      </c>
      <c r="PD36" s="1138">
        <v>181.04484208016001</v>
      </c>
      <c r="PE36" s="1138">
        <v>89.842834074058203</v>
      </c>
      <c r="PF36" s="1139">
        <v>146.89272627823118</v>
      </c>
      <c r="PH36" s="169" t="s">
        <v>558</v>
      </c>
      <c r="PI36" s="703">
        <v>99.898311198258796</v>
      </c>
      <c r="PJ36" s="704">
        <v>101.920711257722</v>
      </c>
      <c r="PK36" s="704">
        <v>38.668634326360497</v>
      </c>
      <c r="PL36" s="173">
        <v>70.90566510021759</v>
      </c>
      <c r="PM36" s="703">
        <v>190.56917948504875</v>
      </c>
      <c r="PN36" s="704">
        <v>79.124130822438005</v>
      </c>
      <c r="PO36" s="704">
        <v>51.174199747697699</v>
      </c>
      <c r="PP36" s="173">
        <v>75.987061178013604</v>
      </c>
      <c r="PQ36" s="65"/>
      <c r="PR36" s="169" t="s">
        <v>558</v>
      </c>
      <c r="PS36" s="1038">
        <v>1.3106234897556699</v>
      </c>
      <c r="PT36" s="1039">
        <v>40.960153527872798</v>
      </c>
      <c r="PU36" s="1039">
        <v>23.858929006536201</v>
      </c>
      <c r="PV36" s="1039">
        <v>4.6200444550384203</v>
      </c>
      <c r="PW36" s="1039">
        <v>64.323235608128797</v>
      </c>
      <c r="PX36" s="1040">
        <v>133.59485251350401</v>
      </c>
      <c r="PZ36" s="169" t="s">
        <v>558</v>
      </c>
      <c r="QA36" s="1038">
        <v>190.83081785159101</v>
      </c>
      <c r="QB36" s="1039">
        <v>77.837020749244203</v>
      </c>
      <c r="QC36" s="1039">
        <v>65.976962949625303</v>
      </c>
      <c r="QD36" s="1039">
        <v>0</v>
      </c>
      <c r="QE36" s="1039">
        <v>11.860057799618801</v>
      </c>
      <c r="QF36" s="1040">
        <v>0</v>
      </c>
    </row>
    <row r="37" spans="1:448" ht="13.5" customHeight="1">
      <c r="A37" s="591" t="s">
        <v>502</v>
      </c>
      <c r="B37" s="167" t="s">
        <v>559</v>
      </c>
      <c r="C37" s="1103">
        <v>1892.036486</v>
      </c>
      <c r="D37" s="690">
        <v>1639.7372818910717</v>
      </c>
      <c r="E37" s="691">
        <v>2034.6116941076</v>
      </c>
      <c r="F37" s="428"/>
      <c r="G37" s="169" t="s">
        <v>559</v>
      </c>
      <c r="H37" s="577">
        <f t="shared" si="5"/>
        <v>-2.8217771088217769E-2</v>
      </c>
      <c r="I37" s="668">
        <f t="shared" si="6"/>
        <v>4.4098454811765331E-2</v>
      </c>
      <c r="J37" s="612"/>
      <c r="K37" s="63"/>
      <c r="L37" s="167" t="s">
        <v>559</v>
      </c>
      <c r="M37" s="636">
        <v>24</v>
      </c>
      <c r="N37" s="637">
        <v>23</v>
      </c>
      <c r="O37" s="637">
        <v>29</v>
      </c>
      <c r="P37" s="637">
        <v>26</v>
      </c>
      <c r="Q37" s="637">
        <v>20</v>
      </c>
      <c r="R37" s="637">
        <v>24</v>
      </c>
      <c r="S37" s="637">
        <v>18</v>
      </c>
      <c r="T37" s="637">
        <v>31</v>
      </c>
      <c r="U37" s="1138">
        <v>23</v>
      </c>
      <c r="V37" s="1138">
        <v>27</v>
      </c>
      <c r="W37" s="1139">
        <v>18</v>
      </c>
      <c r="X37" s="169" t="s">
        <v>559</v>
      </c>
      <c r="Y37" s="666">
        <v>23.5</v>
      </c>
      <c r="Z37" s="667">
        <v>27.5</v>
      </c>
      <c r="AA37" s="667">
        <v>22</v>
      </c>
      <c r="AB37" s="667">
        <v>24.5</v>
      </c>
      <c r="AC37" s="667">
        <v>24.5</v>
      </c>
      <c r="AD37" s="668">
        <v>0.1702127659574468</v>
      </c>
      <c r="AE37" s="668">
        <v>-0.2</v>
      </c>
      <c r="AF37" s="668">
        <v>0.11363636363636363</v>
      </c>
      <c r="AG37" s="1213">
        <v>-0.2</v>
      </c>
      <c r="AN37" s="169" t="s">
        <v>559</v>
      </c>
      <c r="AO37" s="636">
        <v>0</v>
      </c>
      <c r="AP37" s="637">
        <v>24.971920999999998</v>
      </c>
      <c r="AQ37" s="637">
        <v>84.700537999999995</v>
      </c>
      <c r="AR37" s="637">
        <v>228.37146300000001</v>
      </c>
      <c r="AS37" s="637">
        <v>335.41337099999998</v>
      </c>
      <c r="AT37" s="637">
        <v>203.766784</v>
      </c>
      <c r="AU37" s="637">
        <v>365.41691800000001</v>
      </c>
      <c r="AV37" s="173">
        <v>428.81771900000001</v>
      </c>
      <c r="AW37" s="636">
        <v>0</v>
      </c>
      <c r="AX37" s="637">
        <v>14.05583591816214</v>
      </c>
      <c r="AY37" s="637">
        <v>114.318354626678</v>
      </c>
      <c r="AZ37" s="637">
        <v>167.98072545345192</v>
      </c>
      <c r="BA37" s="637">
        <v>256.12886742768683</v>
      </c>
      <c r="BB37" s="637">
        <v>189.83813865443531</v>
      </c>
      <c r="BC37" s="637">
        <v>409.60507329150681</v>
      </c>
      <c r="BD37" s="173">
        <v>294.65513228734841</v>
      </c>
      <c r="BE37" s="1137">
        <v>0</v>
      </c>
      <c r="BF37" s="1138">
        <v>28.360891130483299</v>
      </c>
      <c r="BG37" s="1138">
        <v>58.649058534518801</v>
      </c>
      <c r="BH37" s="1138">
        <v>129.00355084682701</v>
      </c>
      <c r="BI37" s="1138">
        <v>293.24339550308298</v>
      </c>
      <c r="BJ37" s="1138">
        <v>243.18843196508399</v>
      </c>
      <c r="BK37" s="1138">
        <v>357.447860503671</v>
      </c>
      <c r="BL37" s="1139">
        <v>442.60102559067502</v>
      </c>
      <c r="BN37" s="169" t="s">
        <v>559</v>
      </c>
      <c r="BO37" s="647">
        <v>220.57777300000001</v>
      </c>
      <c r="BP37" s="648">
        <v>541.27550099999996</v>
      </c>
      <c r="BQ37" s="648">
        <v>375.04127699999998</v>
      </c>
      <c r="BR37" s="648">
        <v>344.05405400000001</v>
      </c>
      <c r="BS37" s="648">
        <v>156.08570800000001</v>
      </c>
      <c r="BT37" s="173">
        <v>255.002173</v>
      </c>
      <c r="BU37" s="647">
        <v>193.15515423180216</v>
      </c>
      <c r="BV37" s="648">
        <v>398.03915442377655</v>
      </c>
      <c r="BW37" s="648">
        <v>305.24321563939435</v>
      </c>
      <c r="BX37" s="648">
        <v>259.78409330138061</v>
      </c>
      <c r="BY37" s="648">
        <v>249.89251086787945</v>
      </c>
      <c r="BZ37" s="173">
        <v>233.62315342683851</v>
      </c>
      <c r="CA37" s="1137">
        <v>482.11748003326102</v>
      </c>
      <c r="CB37" s="1138">
        <v>402.88277861678802</v>
      </c>
      <c r="CC37" s="1138">
        <v>377.56247665145099</v>
      </c>
      <c r="CD37" s="1138">
        <v>307.50931909405801</v>
      </c>
      <c r="CE37" s="1138">
        <v>289.90424297321499</v>
      </c>
      <c r="CF37" s="1139">
        <v>174.63539673883099</v>
      </c>
      <c r="CG37" s="429"/>
      <c r="CH37" s="169" t="s">
        <v>559</v>
      </c>
      <c r="CI37" s="172">
        <v>349.180925</v>
      </c>
      <c r="CJ37" s="337">
        <v>1191.1040290000001</v>
      </c>
      <c r="CK37" s="337">
        <v>351.75153299999999</v>
      </c>
      <c r="CL37" s="647">
        <v>287.71030723864567</v>
      </c>
      <c r="CM37" s="648">
        <v>963.97168707017738</v>
      </c>
      <c r="CN37" s="648">
        <v>388.05528758224852</v>
      </c>
      <c r="CO37" s="1137">
        <v>631.13280278939305</v>
      </c>
      <c r="CP37" s="1138">
        <v>1040.09934372675</v>
      </c>
      <c r="CQ37" s="1139">
        <v>363.37954759146601</v>
      </c>
      <c r="CR37" s="429"/>
      <c r="CS37" s="233" t="s">
        <v>647</v>
      </c>
      <c r="CT37" s="1002">
        <v>-91.067939678572486</v>
      </c>
      <c r="CU37" s="1002">
        <v>-166.21130538240533</v>
      </c>
      <c r="CV37" s="1005">
        <v>-380.82692694183032</v>
      </c>
      <c r="CW37" s="1005">
        <v>-793.21528862519506</v>
      </c>
      <c r="CX37" s="1002">
        <v>-79.419105222843598</v>
      </c>
      <c r="CY37" s="1002">
        <v>152.10892461424899</v>
      </c>
      <c r="CZ37" s="1002">
        <v>-402.43501937791075</v>
      </c>
      <c r="DA37" s="1006">
        <v>720.47193394471128</v>
      </c>
      <c r="DB37" s="426"/>
      <c r="DC37" s="426"/>
      <c r="DD37" s="426"/>
      <c r="DE37" s="426"/>
      <c r="DG37" s="169" t="s">
        <v>559</v>
      </c>
      <c r="DH37" s="1147" t="s">
        <v>751</v>
      </c>
      <c r="DI37" s="1150" t="s">
        <v>902</v>
      </c>
      <c r="DJ37" s="704" t="s">
        <v>903</v>
      </c>
      <c r="DK37" s="704" t="s">
        <v>904</v>
      </c>
      <c r="DL37" s="337" t="s">
        <v>905</v>
      </c>
      <c r="DM37" s="174" t="s">
        <v>906</v>
      </c>
      <c r="DO37" s="167" t="s">
        <v>559</v>
      </c>
      <c r="DP37" s="704">
        <v>1155.5518939999999</v>
      </c>
      <c r="DQ37" s="337">
        <v>1033.4717951348618</v>
      </c>
      <c r="DR37" s="1139">
        <v>1098.76959126514</v>
      </c>
      <c r="DS37" s="63"/>
      <c r="DT37" s="169" t="s">
        <v>559</v>
      </c>
      <c r="DU37" s="172">
        <v>1892.036486</v>
      </c>
      <c r="DV37" s="337">
        <v>1639.7372818910717</v>
      </c>
      <c r="DW37" s="1139">
        <v>2034.6116941076</v>
      </c>
      <c r="DX37" s="63"/>
      <c r="DY37" s="169" t="s">
        <v>559</v>
      </c>
      <c r="DZ37" s="1089">
        <f t="shared" si="0"/>
        <v>1.6373444549085738</v>
      </c>
      <c r="EA37" s="787">
        <f t="shared" si="1"/>
        <v>1.586629929921886</v>
      </c>
      <c r="EB37" s="776">
        <f t="shared" si="2"/>
        <v>1.851718240368226</v>
      </c>
      <c r="ED37" s="541"/>
      <c r="EE37" s="169" t="s">
        <v>559</v>
      </c>
      <c r="EF37" s="735">
        <v>719.26014799999996</v>
      </c>
      <c r="EG37" s="736">
        <v>44.928645000000003</v>
      </c>
      <c r="EH37" s="736">
        <v>158.564773</v>
      </c>
      <c r="EI37" s="736">
        <v>132.19333800000001</v>
      </c>
      <c r="EJ37" s="736">
        <v>100.604989</v>
      </c>
      <c r="EK37" s="703">
        <v>652.08933062520202</v>
      </c>
      <c r="EL37" s="704">
        <v>31.450703681113769</v>
      </c>
      <c r="EM37" s="704">
        <v>177.64910808321184</v>
      </c>
      <c r="EN37" s="704">
        <v>102.01022536848382</v>
      </c>
      <c r="EO37" s="704">
        <v>70.272427376850246</v>
      </c>
      <c r="EP37" s="1137">
        <v>677.38658542631299</v>
      </c>
      <c r="EQ37" s="1138">
        <v>15.68884514122</v>
      </c>
      <c r="ER37" s="1138">
        <v>130.01049642229199</v>
      </c>
      <c r="ES37" s="1138">
        <v>109.773814416165</v>
      </c>
      <c r="ET37" s="1139">
        <v>165.909849859145</v>
      </c>
      <c r="EV37" s="169" t="s">
        <v>559</v>
      </c>
      <c r="EW37" s="703">
        <v>99.001868000000002</v>
      </c>
      <c r="EX37" s="704">
        <v>312.66330900000003</v>
      </c>
      <c r="EY37" s="704">
        <v>183.16296399999999</v>
      </c>
      <c r="EZ37" s="704">
        <v>124.432008</v>
      </c>
      <c r="FA37" s="703">
        <v>361.99275</v>
      </c>
      <c r="FB37" s="704">
        <v>800.44657600000005</v>
      </c>
      <c r="FC37" s="704">
        <v>339.80920900000001</v>
      </c>
      <c r="FD37" s="704">
        <v>169.21017900000001</v>
      </c>
      <c r="FE37" s="703">
        <v>115.17143701383129</v>
      </c>
      <c r="FF37" s="704">
        <v>224.07724423761525</v>
      </c>
      <c r="FG37" s="704">
        <v>216.49081526262205</v>
      </c>
      <c r="FH37" s="173">
        <v>96.349834111133561</v>
      </c>
      <c r="FI37" s="703">
        <v>286.96980937883006</v>
      </c>
      <c r="FJ37" s="704">
        <v>602.25670298725458</v>
      </c>
      <c r="FK37" s="746">
        <v>392.17475229149778</v>
      </c>
      <c r="FL37" s="747">
        <v>165.18086300168707</v>
      </c>
      <c r="FM37" s="1137">
        <v>78.356371266568601</v>
      </c>
      <c r="FN37" s="1138">
        <v>246.903469706283</v>
      </c>
      <c r="FO37" s="1138">
        <v>269.60020236000003</v>
      </c>
      <c r="FP37" s="1139">
        <v>82.526542093461302</v>
      </c>
      <c r="FQ37" s="1137">
        <v>275.04701198623502</v>
      </c>
      <c r="FR37" s="1138">
        <v>715.89599337514301</v>
      </c>
      <c r="FS37" s="1138">
        <v>442.284737149911</v>
      </c>
      <c r="FT37" s="1139">
        <v>119.266471563054</v>
      </c>
      <c r="FV37" s="167" t="s">
        <v>559</v>
      </c>
      <c r="FW37" s="337">
        <v>183.26345800000001</v>
      </c>
      <c r="FX37" s="337">
        <v>115.488574</v>
      </c>
      <c r="FY37" s="337">
        <v>71.251052000000001</v>
      </c>
      <c r="FZ37" s="173">
        <v>21.360016000000002</v>
      </c>
      <c r="GA37" s="703">
        <v>188.15680733590384</v>
      </c>
      <c r="GB37" s="704">
        <v>109.05026499619764</v>
      </c>
      <c r="GC37" s="704">
        <v>31.704645271265839</v>
      </c>
      <c r="GD37" s="173">
        <v>24.503651562568219</v>
      </c>
      <c r="GE37" s="1137">
        <v>142.52365650023401</v>
      </c>
      <c r="GF37" s="1138">
        <v>81.840184005787705</v>
      </c>
      <c r="GG37" s="1138">
        <v>76.060272538458904</v>
      </c>
      <c r="GH37" s="1139">
        <v>108.51828661979479</v>
      </c>
      <c r="GJ37" s="169" t="s">
        <v>559</v>
      </c>
      <c r="GK37" s="703">
        <v>1231.4985899999999</v>
      </c>
      <c r="GL37" s="704">
        <v>1186.9991923280036</v>
      </c>
      <c r="GM37" s="1139">
        <v>1191.00111567305</v>
      </c>
      <c r="GO37" s="169" t="s">
        <v>559</v>
      </c>
      <c r="GP37" s="703">
        <v>1155.5518939999999</v>
      </c>
      <c r="GQ37" s="704">
        <v>1.444069</v>
      </c>
      <c r="GR37" s="173">
        <v>74.502628000000001</v>
      </c>
      <c r="GS37" s="703">
        <v>1033.4717951348618</v>
      </c>
      <c r="GT37" s="704">
        <v>14.036888807995091</v>
      </c>
      <c r="GU37" s="173">
        <v>139.49050838514654</v>
      </c>
      <c r="GV37" s="1137">
        <v>1098.76959126514</v>
      </c>
      <c r="GW37" s="1138">
        <v>9.3942579123605192</v>
      </c>
      <c r="GX37" s="1139">
        <v>82.837266495552797</v>
      </c>
      <c r="GZ37" s="169" t="s">
        <v>559</v>
      </c>
      <c r="HA37" s="172">
        <v>89.755582000000004</v>
      </c>
      <c r="HB37" s="337">
        <v>1043.6471859999999</v>
      </c>
      <c r="HC37" s="173">
        <f t="shared" si="7"/>
        <v>98.095821999999998</v>
      </c>
      <c r="HD37" s="703">
        <v>49.80060195848376</v>
      </c>
      <c r="HE37" s="704">
        <v>1133.6800752395443</v>
      </c>
      <c r="HF37" s="173">
        <f t="shared" si="8"/>
        <v>3.5185151299754125</v>
      </c>
      <c r="HG37" s="583">
        <v>56.1872449308051</v>
      </c>
      <c r="HH37" s="1138">
        <v>1116.06296406159</v>
      </c>
      <c r="HI37" s="173">
        <f t="shared" si="9"/>
        <v>18.750906680654907</v>
      </c>
      <c r="HK37" s="169" t="s">
        <v>559</v>
      </c>
      <c r="HL37" s="704">
        <v>1155.5518939999999</v>
      </c>
      <c r="HM37" s="704">
        <v>3229.487314</v>
      </c>
      <c r="HN37" s="776">
        <f t="shared" si="10"/>
        <v>2.7947574927344632</v>
      </c>
      <c r="HO37" s="703">
        <v>1033.4717951348618</v>
      </c>
      <c r="HP37" s="704">
        <v>2645.8629692899017</v>
      </c>
      <c r="HQ37" s="776">
        <f t="shared" si="11"/>
        <v>2.5601695002664608</v>
      </c>
      <c r="HR37" s="1138">
        <v>1098.76959126514</v>
      </c>
      <c r="HS37" s="1138">
        <v>3118.1250763343201</v>
      </c>
      <c r="HT37" s="784">
        <f t="shared" si="12"/>
        <v>2.8378334285207725</v>
      </c>
      <c r="HV37" s="169" t="s">
        <v>559</v>
      </c>
      <c r="HW37" s="172">
        <v>89.755582000000004</v>
      </c>
      <c r="HX37" s="337">
        <v>464.64552800000001</v>
      </c>
      <c r="HY37" s="787">
        <f t="shared" si="13"/>
        <v>5.1767869768812815</v>
      </c>
      <c r="HZ37" s="704">
        <v>973.476765</v>
      </c>
      <c r="IA37" s="704">
        <v>2618.1361710000001</v>
      </c>
      <c r="IB37" s="787">
        <f t="shared" si="14"/>
        <v>2.6894696053685472</v>
      </c>
      <c r="IC37" s="703">
        <v>46.316990898607699</v>
      </c>
      <c r="ID37" s="704">
        <v>239.64343200801048</v>
      </c>
      <c r="IE37" s="787">
        <f t="shared" si="15"/>
        <v>5.1739853422821174</v>
      </c>
      <c r="IF37" s="704">
        <v>983.63628910627881</v>
      </c>
      <c r="IG37" s="704">
        <v>2402.7010221519158</v>
      </c>
      <c r="IH37" s="776">
        <f t="shared" si="16"/>
        <v>2.4426722039047419</v>
      </c>
      <c r="II37" s="1137">
        <v>56.1872449308051</v>
      </c>
      <c r="IJ37" s="1138">
        <v>281.13260103814503</v>
      </c>
      <c r="IK37" s="1170">
        <f t="shared" si="17"/>
        <v>5.0034950349382914</v>
      </c>
      <c r="IL37" s="1138">
        <v>1023.83143965367</v>
      </c>
      <c r="IM37" s="1138">
        <v>2792.9565557798801</v>
      </c>
      <c r="IN37" s="1171">
        <f t="shared" si="18"/>
        <v>2.7279456828603053</v>
      </c>
      <c r="IP37" s="169" t="s">
        <v>559</v>
      </c>
      <c r="IQ37" s="703">
        <v>212.17301</v>
      </c>
      <c r="IR37" s="704">
        <v>305.45692200000002</v>
      </c>
      <c r="IS37" s="704">
        <v>326.98419699999999</v>
      </c>
      <c r="IT37" s="704">
        <v>181.29576299999999</v>
      </c>
      <c r="IU37" s="704">
        <v>129.64200099999999</v>
      </c>
      <c r="IV37" s="704">
        <v>3229.487314</v>
      </c>
      <c r="IW37" s="703">
        <v>154.3931318082214</v>
      </c>
      <c r="IX37" s="704">
        <v>418.33961283173744</v>
      </c>
      <c r="IY37" s="704">
        <v>288.21878683459391</v>
      </c>
      <c r="IZ37" s="704">
        <v>104.96462361492874</v>
      </c>
      <c r="JA37" s="704">
        <v>67.555640045380343</v>
      </c>
      <c r="JB37" s="173">
        <v>2645.8629692899017</v>
      </c>
      <c r="JC37" s="1137">
        <v>156.352396620485</v>
      </c>
      <c r="JD37" s="1138">
        <v>348.965473860722</v>
      </c>
      <c r="JE37" s="1138">
        <v>274.483988247681</v>
      </c>
      <c r="JF37" s="1138">
        <v>201.85019138076899</v>
      </c>
      <c r="JG37" s="1138">
        <v>117.11754115547799</v>
      </c>
      <c r="JH37" s="1139">
        <v>3118.1250763343201</v>
      </c>
      <c r="JJ37" s="169" t="s">
        <v>559</v>
      </c>
      <c r="JK37" s="172">
        <v>138.37434099999999</v>
      </c>
      <c r="JL37" s="337">
        <v>320.08296399999995</v>
      </c>
      <c r="JM37" s="337">
        <v>682.57265400000006</v>
      </c>
      <c r="JN37" s="173">
        <v>14.521934</v>
      </c>
      <c r="JO37" s="703">
        <v>189.29142274462583</v>
      </c>
      <c r="JP37" s="704">
        <v>351.93882036101695</v>
      </c>
      <c r="JQ37" s="704">
        <v>478.28171298798816</v>
      </c>
      <c r="JR37" s="173">
        <v>13.959839041230969</v>
      </c>
      <c r="JS37" s="1137">
        <v>135.697120843015</v>
      </c>
      <c r="JT37" s="1138">
        <v>239.7404799804541</v>
      </c>
      <c r="JU37" s="1138">
        <v>710.48898993113096</v>
      </c>
      <c r="JV37" s="1139">
        <v>12.8430005105352</v>
      </c>
      <c r="JX37" s="169" t="s">
        <v>559</v>
      </c>
      <c r="JY37" s="703">
        <v>180.78852192025701</v>
      </c>
      <c r="JZ37" s="704">
        <v>231.213701246515</v>
      </c>
      <c r="KA37" s="704">
        <v>211.99857743203299</v>
      </c>
      <c r="KB37" s="173">
        <v>474.76879066633001</v>
      </c>
      <c r="KC37" s="603"/>
      <c r="KD37" s="169" t="s">
        <v>559</v>
      </c>
      <c r="KE37" s="703">
        <v>9.48602422025815</v>
      </c>
      <c r="KF37" s="704">
        <v>27.284387958463199</v>
      </c>
      <c r="KG37" s="704">
        <v>520.88535257840294</v>
      </c>
      <c r="KH37" s="704">
        <v>419.80104556168601</v>
      </c>
      <c r="KI37" s="704">
        <v>36.629912434845103</v>
      </c>
      <c r="KJ37" s="173">
        <v>6.4964779333460001</v>
      </c>
      <c r="KK37" s="703">
        <v>2.7405244872112999</v>
      </c>
      <c r="KL37" s="704">
        <v>40.6797751802075</v>
      </c>
      <c r="KM37" s="704">
        <v>8.6895445224092498</v>
      </c>
      <c r="KN37" s="704">
        <v>3.248238966673</v>
      </c>
      <c r="KO37" s="704">
        <v>0</v>
      </c>
      <c r="KP37" s="173">
        <v>0.82916177430397897</v>
      </c>
      <c r="KQ37" s="703">
        <v>12.2265487074694</v>
      </c>
      <c r="KR37" s="704">
        <v>71.091096967860693</v>
      </c>
      <c r="KS37" s="704">
        <v>545.19886995227796</v>
      </c>
      <c r="KT37" s="704">
        <v>423.04928452835901</v>
      </c>
      <c r="KU37" s="704">
        <v>36.629912434845103</v>
      </c>
      <c r="KV37" s="173">
        <v>7.3256397076499704</v>
      </c>
      <c r="KW37" s="429"/>
      <c r="KX37" s="169" t="s">
        <v>559</v>
      </c>
      <c r="KY37" s="172">
        <f t="shared" si="19"/>
        <v>531.30818299999999</v>
      </c>
      <c r="KZ37" s="337">
        <v>527.369192</v>
      </c>
      <c r="LA37" s="173">
        <v>96.874519000000006</v>
      </c>
      <c r="LB37" s="172">
        <f t="shared" si="3"/>
        <v>482.04664634365099</v>
      </c>
      <c r="LC37" s="704">
        <v>462.76782612575329</v>
      </c>
      <c r="LD37" s="173">
        <v>88.657322665457627</v>
      </c>
      <c r="LE37" s="172">
        <f t="shared" si="4"/>
        <v>567.62103985877684</v>
      </c>
      <c r="LF37" s="1138">
        <v>461.03381574273402</v>
      </c>
      <c r="LG37" s="1139">
        <v>70.114735663629105</v>
      </c>
      <c r="LH37" s="426"/>
      <c r="LI37" s="169" t="s">
        <v>559</v>
      </c>
      <c r="LJ37" s="703">
        <v>910.16337299999998</v>
      </c>
      <c r="LK37" s="704">
        <v>725.44568300000003</v>
      </c>
      <c r="LL37" s="704">
        <v>184.71769</v>
      </c>
      <c r="LM37" s="704">
        <v>221.69364999999999</v>
      </c>
      <c r="LN37" s="704">
        <v>37.063406000000001</v>
      </c>
      <c r="LO37" s="173">
        <v>150.78675100000001</v>
      </c>
      <c r="LP37" s="703">
        <v>759.96845554418962</v>
      </c>
      <c r="LQ37" s="704">
        <v>535.27958422064376</v>
      </c>
      <c r="LR37" s="704">
        <v>224.68887132354595</v>
      </c>
      <c r="LS37" s="704">
        <v>129.48538624431524</v>
      </c>
      <c r="LT37" s="704">
        <v>67.351714243908035</v>
      </c>
      <c r="LU37" s="173">
        <v>101.72128404460794</v>
      </c>
      <c r="LV37" s="1137">
        <v>771.58259403965098</v>
      </c>
      <c r="LW37" s="1138">
        <v>541.37375534179398</v>
      </c>
      <c r="LX37" s="1138">
        <v>230.208838697857</v>
      </c>
      <c r="LY37" s="1138">
        <v>161.62801611243299</v>
      </c>
      <c r="LZ37" s="1138">
        <v>51.245728703858497</v>
      </c>
      <c r="MA37" s="1139">
        <v>204.65832762693501</v>
      </c>
      <c r="MC37" s="169" t="s">
        <v>559</v>
      </c>
      <c r="MD37" s="703">
        <v>0</v>
      </c>
      <c r="ME37" s="704">
        <v>22.083787000000001</v>
      </c>
      <c r="MF37" s="704">
        <v>77.968681000000004</v>
      </c>
      <c r="MG37" s="704">
        <v>196.65940800000001</v>
      </c>
      <c r="MH37" s="704">
        <v>263.96892600000001</v>
      </c>
      <c r="MI37" s="173">
        <v>164.764881</v>
      </c>
      <c r="MJ37" s="703">
        <v>0</v>
      </c>
      <c r="MK37" s="704">
        <v>7.0507030830341204</v>
      </c>
      <c r="ML37" s="704">
        <v>107.31623115931286</v>
      </c>
      <c r="MM37" s="704">
        <v>129.4887756685649</v>
      </c>
      <c r="MN37" s="704">
        <v>168.36626006990301</v>
      </c>
      <c r="MO37" s="173">
        <v>123.05761423982878</v>
      </c>
      <c r="MP37" s="1137">
        <v>0</v>
      </c>
      <c r="MQ37" s="1138">
        <v>28.360891130483299</v>
      </c>
      <c r="MR37" s="1138">
        <v>52.073391645942998</v>
      </c>
      <c r="MS37" s="1138">
        <v>103.928565555532</v>
      </c>
      <c r="MT37" s="1138">
        <v>207.87097760136501</v>
      </c>
      <c r="MU37" s="1139">
        <v>149.13992940847001</v>
      </c>
      <c r="MW37" s="169" t="s">
        <v>559</v>
      </c>
      <c r="MX37" s="172">
        <v>728.33381699999995</v>
      </c>
      <c r="MY37" s="337">
        <v>688.42613800000004</v>
      </c>
      <c r="MZ37" s="337">
        <v>39.907677999999997</v>
      </c>
      <c r="NA37" s="703">
        <v>538.78215063820767</v>
      </c>
      <c r="NB37" s="704">
        <v>503.60155111710958</v>
      </c>
      <c r="NC37" s="173">
        <v>35.180599521098102</v>
      </c>
      <c r="ND37" s="1137">
        <v>551.11847224181304</v>
      </c>
      <c r="NE37" s="1138">
        <v>485.39022671012901</v>
      </c>
      <c r="NF37" s="1139">
        <v>65.728245531683697</v>
      </c>
      <c r="NH37" s="169" t="s">
        <v>559</v>
      </c>
      <c r="NI37" s="703">
        <v>359.87392506032359</v>
      </c>
      <c r="NJ37" s="173">
        <v>143.72762605678611</v>
      </c>
      <c r="NK37" s="703">
        <v>24.611381308088522</v>
      </c>
      <c r="NL37" s="704">
        <v>7.0666517954455701</v>
      </c>
      <c r="NM37" s="173">
        <v>3.5025664175640099</v>
      </c>
      <c r="NN37" s="1137">
        <v>346.71581381686201</v>
      </c>
      <c r="NO37" s="1139">
        <v>138.6744128932674</v>
      </c>
      <c r="NP37" s="1137">
        <v>46.791208871595401</v>
      </c>
      <c r="NQ37" s="1138">
        <v>18.9370366600883</v>
      </c>
      <c r="NR37" s="1139">
        <v>0</v>
      </c>
      <c r="NS37" s="136"/>
      <c r="NT37" s="169" t="s">
        <v>559</v>
      </c>
      <c r="NU37" s="703">
        <v>84.208023080815721</v>
      </c>
      <c r="NV37" s="704">
        <v>7.0666517954455701</v>
      </c>
      <c r="NW37" s="704">
        <v>14.01791975781344</v>
      </c>
      <c r="NX37" s="173">
        <v>38.435031422711369</v>
      </c>
      <c r="NY37" s="1137">
        <v>88.496556695221699</v>
      </c>
      <c r="NZ37" s="1138">
        <v>21.964172517771999</v>
      </c>
      <c r="OA37" s="1138">
        <v>3.248238966673</v>
      </c>
      <c r="OB37" s="1139">
        <v>24.9654447136007</v>
      </c>
      <c r="OC37" s="553"/>
      <c r="OD37" s="169" t="s">
        <v>559</v>
      </c>
      <c r="OE37" s="703">
        <v>112.18902093787101</v>
      </c>
      <c r="OF37" s="704">
        <v>153.64123656162101</v>
      </c>
      <c r="OG37" s="704">
        <v>121.143343196277</v>
      </c>
      <c r="OH37" s="704">
        <v>61.393022845076402</v>
      </c>
      <c r="OI37" s="704">
        <v>127.810259940706</v>
      </c>
      <c r="OJ37" s="704">
        <v>31.4126546150633</v>
      </c>
      <c r="OK37" s="173">
        <v>31.722355381370601</v>
      </c>
      <c r="OL37" s="703">
        <v>140.71965629897301</v>
      </c>
      <c r="OM37" s="704">
        <v>169.753085055106</v>
      </c>
      <c r="ON37" s="704">
        <v>121.143343196277</v>
      </c>
      <c r="OO37" s="704">
        <v>64.641261811749402</v>
      </c>
      <c r="OP37" s="704">
        <v>210.40575017448501</v>
      </c>
      <c r="OQ37" s="704">
        <v>127.835766630553</v>
      </c>
      <c r="OR37" s="173">
        <v>1149.61143545756</v>
      </c>
      <c r="OT37" s="169" t="s">
        <v>559</v>
      </c>
      <c r="OU37" s="172">
        <v>584.08576900000003</v>
      </c>
      <c r="OV37" s="337">
        <v>217.058966</v>
      </c>
      <c r="OW37" s="337">
        <v>257.43170099999998</v>
      </c>
      <c r="OX37" s="173">
        <v>277.72213799999997</v>
      </c>
      <c r="OY37" s="703">
        <v>510.50736830634958</v>
      </c>
      <c r="OZ37" s="704">
        <v>242.91951845127051</v>
      </c>
      <c r="PA37" s="704">
        <v>154.80535278437279</v>
      </c>
      <c r="PB37" s="173">
        <v>307.37656598629945</v>
      </c>
      <c r="PC37" s="1137">
        <v>428.65945470512321</v>
      </c>
      <c r="PD37" s="1138">
        <v>381.51502089800601</v>
      </c>
      <c r="PE37" s="1138">
        <v>198.435044668839</v>
      </c>
      <c r="PF37" s="1139">
        <v>291.54640102015918</v>
      </c>
      <c r="PH37" s="169" t="s">
        <v>559</v>
      </c>
      <c r="PI37" s="703">
        <v>149.1476310127056</v>
      </c>
      <c r="PJ37" s="704">
        <v>164.66089320855701</v>
      </c>
      <c r="PK37" s="704">
        <v>107.333329112348</v>
      </c>
      <c r="PL37" s="173">
        <v>119.6869101249016</v>
      </c>
      <c r="PM37" s="703">
        <v>279.51182369241758</v>
      </c>
      <c r="PN37" s="704">
        <v>216.85412768944801</v>
      </c>
      <c r="PO37" s="704">
        <v>91.101715556491797</v>
      </c>
      <c r="PP37" s="173">
        <v>171.8594908952571</v>
      </c>
      <c r="PQ37" s="65"/>
      <c r="PR37" s="169" t="s">
        <v>559</v>
      </c>
      <c r="PS37" s="1038">
        <v>12.569905066622701</v>
      </c>
      <c r="PT37" s="1039">
        <v>37.395954656893799</v>
      </c>
      <c r="PU37" s="1039">
        <v>28.556464544863601</v>
      </c>
      <c r="PV37" s="1039">
        <v>5.9647372574774202</v>
      </c>
      <c r="PW37" s="1039">
        <v>241.94539205629999</v>
      </c>
      <c r="PX37" s="1040">
        <v>224.68601865965499</v>
      </c>
      <c r="PZ37" s="169" t="s">
        <v>559</v>
      </c>
      <c r="QA37" s="1038">
        <v>354.60404519926499</v>
      </c>
      <c r="QB37" s="1039">
        <v>196.51442704254799</v>
      </c>
      <c r="QC37" s="1039">
        <v>120.790813133482</v>
      </c>
      <c r="QD37" s="1039">
        <v>18.550724728894799</v>
      </c>
      <c r="QE37" s="1039">
        <v>50.935103926586301</v>
      </c>
      <c r="QF37" s="1040">
        <v>6.2377852535851499</v>
      </c>
    </row>
    <row r="38" spans="1:448" ht="13.5" customHeight="1">
      <c r="A38" s="591" t="s">
        <v>503</v>
      </c>
      <c r="B38" s="167" t="s">
        <v>560</v>
      </c>
      <c r="C38" s="1103">
        <v>2380.8962230000002</v>
      </c>
      <c r="D38" s="690">
        <v>2325.2877314993598</v>
      </c>
      <c r="E38" s="691">
        <v>1774.42094817663</v>
      </c>
      <c r="F38" s="428"/>
      <c r="G38" s="169" t="s">
        <v>560</v>
      </c>
      <c r="H38" s="577">
        <f t="shared" si="5"/>
        <v>-4.7154858657162402E-3</v>
      </c>
      <c r="I38" s="668">
        <f t="shared" si="6"/>
        <v>-5.2637933340975218E-2</v>
      </c>
      <c r="J38" s="612"/>
      <c r="K38" s="63"/>
      <c r="L38" s="167" t="s">
        <v>560</v>
      </c>
      <c r="M38" s="636">
        <v>42</v>
      </c>
      <c r="N38" s="637">
        <v>43</v>
      </c>
      <c r="O38" s="637">
        <v>45</v>
      </c>
      <c r="P38" s="637">
        <v>30</v>
      </c>
      <c r="Q38" s="637">
        <v>26</v>
      </c>
      <c r="R38" s="637">
        <v>32</v>
      </c>
      <c r="S38" s="637">
        <v>36</v>
      </c>
      <c r="T38" s="637">
        <v>33</v>
      </c>
      <c r="U38" s="1138">
        <v>27</v>
      </c>
      <c r="V38" s="1138">
        <v>26</v>
      </c>
      <c r="W38" s="1139">
        <v>30</v>
      </c>
      <c r="X38" s="169" t="s">
        <v>560</v>
      </c>
      <c r="Y38" s="666">
        <v>42.5</v>
      </c>
      <c r="Z38" s="667">
        <v>37.5</v>
      </c>
      <c r="AA38" s="667">
        <v>29</v>
      </c>
      <c r="AB38" s="667">
        <v>34.5</v>
      </c>
      <c r="AC38" s="667">
        <v>34.5</v>
      </c>
      <c r="AD38" s="668">
        <v>-0.11764705882352941</v>
      </c>
      <c r="AE38" s="668">
        <v>-0.22666666666666666</v>
      </c>
      <c r="AF38" s="668">
        <v>0.18965517241379309</v>
      </c>
      <c r="AG38" s="1213">
        <v>-0.22666666666666666</v>
      </c>
      <c r="AN38" s="169" t="s">
        <v>560</v>
      </c>
      <c r="AO38" s="636">
        <v>0</v>
      </c>
      <c r="AP38" s="637">
        <v>23.375782999999998</v>
      </c>
      <c r="AQ38" s="637">
        <v>12.932606</v>
      </c>
      <c r="AR38" s="637">
        <v>111.785077</v>
      </c>
      <c r="AS38" s="637">
        <v>387.06897700000002</v>
      </c>
      <c r="AT38" s="637">
        <v>317.859352</v>
      </c>
      <c r="AU38" s="637">
        <v>452.481583</v>
      </c>
      <c r="AV38" s="173">
        <v>541.27842299999998</v>
      </c>
      <c r="AW38" s="636">
        <v>0</v>
      </c>
      <c r="AX38" s="637">
        <v>33.462072426105031</v>
      </c>
      <c r="AY38" s="637">
        <v>30.509156705303258</v>
      </c>
      <c r="AZ38" s="637">
        <v>72.807769353698717</v>
      </c>
      <c r="BA38" s="637">
        <v>371.37974599969908</v>
      </c>
      <c r="BB38" s="637">
        <v>305.03303267576104</v>
      </c>
      <c r="BC38" s="637">
        <v>440.60809020641688</v>
      </c>
      <c r="BD38" s="173">
        <v>463.89315846624623</v>
      </c>
      <c r="BE38" s="1137">
        <v>0</v>
      </c>
      <c r="BF38" s="1138">
        <v>24.5215142545782</v>
      </c>
      <c r="BG38" s="1138">
        <v>11.9735821110374</v>
      </c>
      <c r="BH38" s="1138">
        <v>90.524347275497604</v>
      </c>
      <c r="BI38" s="1138">
        <v>251.28135209802099</v>
      </c>
      <c r="BJ38" s="1138">
        <v>184.702387868236</v>
      </c>
      <c r="BK38" s="1138">
        <v>481.22029775367901</v>
      </c>
      <c r="BL38" s="1139">
        <v>452.98450356759901</v>
      </c>
      <c r="BN38" s="169" t="s">
        <v>560</v>
      </c>
      <c r="BO38" s="647">
        <v>534.11442199999999</v>
      </c>
      <c r="BP38" s="648">
        <v>530.13279299999999</v>
      </c>
      <c r="BQ38" s="648">
        <v>399.32286800000003</v>
      </c>
      <c r="BR38" s="648">
        <v>426.36196699999999</v>
      </c>
      <c r="BS38" s="648">
        <v>295.97995400000002</v>
      </c>
      <c r="BT38" s="173">
        <v>194.984218</v>
      </c>
      <c r="BU38" s="647">
        <v>606.59470644764156</v>
      </c>
      <c r="BV38" s="648">
        <v>447.59637623957963</v>
      </c>
      <c r="BW38" s="648">
        <v>398.60579367504789</v>
      </c>
      <c r="BX38" s="648">
        <v>359.22449693207165</v>
      </c>
      <c r="BY38" s="648">
        <v>294.54521343986363</v>
      </c>
      <c r="BZ38" s="173">
        <v>218.72114476515495</v>
      </c>
      <c r="CA38" s="1137">
        <v>280.21296629413598</v>
      </c>
      <c r="CB38" s="1138">
        <v>301.82781682081702</v>
      </c>
      <c r="CC38" s="1138">
        <v>259.20893746069697</v>
      </c>
      <c r="CD38" s="1138">
        <v>303.09753118249898</v>
      </c>
      <c r="CE38" s="1138">
        <v>364.97965919361502</v>
      </c>
      <c r="CF38" s="1139">
        <v>265.09403722486502</v>
      </c>
      <c r="CG38" s="429"/>
      <c r="CH38" s="169" t="s">
        <v>560</v>
      </c>
      <c r="CI38" s="172">
        <v>761.89332000000002</v>
      </c>
      <c r="CJ38" s="337">
        <v>1235.5373360000001</v>
      </c>
      <c r="CK38" s="337">
        <v>383.46556700000002</v>
      </c>
      <c r="CL38" s="647">
        <v>800.20799983588927</v>
      </c>
      <c r="CM38" s="648">
        <v>1120.8297542080609</v>
      </c>
      <c r="CN38" s="648">
        <v>404.24997745540901</v>
      </c>
      <c r="CO38" s="1137">
        <v>383.133793060676</v>
      </c>
      <c r="CP38" s="1138">
        <v>888.15803416319204</v>
      </c>
      <c r="CQ38" s="1139">
        <v>503.12912095276101</v>
      </c>
      <c r="CR38" s="429"/>
      <c r="CS38" s="426"/>
      <c r="CT38" s="434"/>
      <c r="CU38" s="434"/>
      <c r="CV38" s="434"/>
      <c r="CW38" s="434"/>
      <c r="CX38" s="434"/>
      <c r="CY38" s="434"/>
      <c r="CZ38" s="434"/>
      <c r="DA38" s="434"/>
      <c r="DB38" s="426"/>
      <c r="DC38" s="426"/>
      <c r="DD38" s="426"/>
      <c r="DE38" s="426"/>
      <c r="DG38" s="169" t="s">
        <v>560</v>
      </c>
      <c r="DH38" s="1147" t="s">
        <v>752</v>
      </c>
      <c r="DI38" s="1150" t="s">
        <v>907</v>
      </c>
      <c r="DJ38" s="704" t="s">
        <v>908</v>
      </c>
      <c r="DK38" s="704" t="s">
        <v>909</v>
      </c>
      <c r="DL38" s="337" t="s">
        <v>910</v>
      </c>
      <c r="DM38" s="174" t="s">
        <v>911</v>
      </c>
      <c r="DO38" s="167" t="s">
        <v>560</v>
      </c>
      <c r="DP38" s="704">
        <v>1038.7163009999999</v>
      </c>
      <c r="DQ38" s="337">
        <v>978.54760649959303</v>
      </c>
      <c r="DR38" s="1139">
        <v>932.96488442763598</v>
      </c>
      <c r="DS38" s="63"/>
      <c r="DT38" s="169" t="s">
        <v>560</v>
      </c>
      <c r="DU38" s="172">
        <v>2304.8963159999998</v>
      </c>
      <c r="DV38" s="337">
        <v>2248.2877916758398</v>
      </c>
      <c r="DW38" s="1139">
        <v>1701.42087405352</v>
      </c>
      <c r="DX38" s="63"/>
      <c r="DY38" s="169" t="s">
        <v>560</v>
      </c>
      <c r="DZ38" s="1089">
        <f t="shared" si="0"/>
        <v>2.2189854089909002</v>
      </c>
      <c r="EA38" s="787">
        <f t="shared" si="1"/>
        <v>2.2975763026167852</v>
      </c>
      <c r="EB38" s="776">
        <f t="shared" si="2"/>
        <v>1.8236708609856453</v>
      </c>
      <c r="ED38" s="541"/>
      <c r="EE38" s="169" t="s">
        <v>560</v>
      </c>
      <c r="EF38" s="735">
        <v>471.46617700000002</v>
      </c>
      <c r="EG38" s="736">
        <v>35.616559000000002</v>
      </c>
      <c r="EH38" s="736">
        <v>145.317069</v>
      </c>
      <c r="EI38" s="736">
        <v>223.293171</v>
      </c>
      <c r="EJ38" s="736">
        <v>163.023325</v>
      </c>
      <c r="EK38" s="703">
        <v>409.71534740334778</v>
      </c>
      <c r="EL38" s="704">
        <v>15.08746179973798</v>
      </c>
      <c r="EM38" s="704">
        <v>151.86574464155515</v>
      </c>
      <c r="EN38" s="704">
        <v>221.97898626440207</v>
      </c>
      <c r="EO38" s="704">
        <v>179.90006639054991</v>
      </c>
      <c r="EP38" s="1137">
        <v>504.20294020413598</v>
      </c>
      <c r="EQ38" s="1138">
        <v>24.6741379427</v>
      </c>
      <c r="ER38" s="1138">
        <v>153.79042944340401</v>
      </c>
      <c r="ES38" s="1138">
        <v>137.49691383348801</v>
      </c>
      <c r="ET38" s="1139">
        <v>112.800463003907</v>
      </c>
      <c r="EV38" s="169" t="s">
        <v>560</v>
      </c>
      <c r="EW38" s="703">
        <v>71.141081</v>
      </c>
      <c r="EX38" s="704">
        <v>97.100566999999998</v>
      </c>
      <c r="EY38" s="704">
        <v>244.1919</v>
      </c>
      <c r="EZ38" s="704">
        <v>58.123691999999998</v>
      </c>
      <c r="FA38" s="703">
        <v>329.86927900000001</v>
      </c>
      <c r="FB38" s="704">
        <v>811.50817800000004</v>
      </c>
      <c r="FC38" s="704">
        <v>541.73384799999997</v>
      </c>
      <c r="FD38" s="704">
        <v>87.670587999999995</v>
      </c>
      <c r="FE38" s="703">
        <v>15.93884507937185</v>
      </c>
      <c r="FF38" s="704">
        <v>135.34781846698974</v>
      </c>
      <c r="FG38" s="704">
        <v>170.6301052434132</v>
      </c>
      <c r="FH38" s="173">
        <v>90.798576269034882</v>
      </c>
      <c r="FI38" s="703">
        <v>259.96690832126222</v>
      </c>
      <c r="FJ38" s="704">
        <v>768.39576232063223</v>
      </c>
      <c r="FK38" s="746">
        <v>464.78396013075758</v>
      </c>
      <c r="FL38" s="747">
        <v>151.5464521110076</v>
      </c>
      <c r="FM38" s="1137">
        <v>18.949627743749101</v>
      </c>
      <c r="FN38" s="1138">
        <v>122.79265891076901</v>
      </c>
      <c r="FO38" s="1138">
        <v>240.99841097920199</v>
      </c>
      <c r="FP38" s="1139">
        <v>118.46223952426</v>
      </c>
      <c r="FQ38" s="1137">
        <v>159.66457970887501</v>
      </c>
      <c r="FR38" s="1138">
        <v>495.83412393158699</v>
      </c>
      <c r="FS38" s="1138">
        <v>588.322196485826</v>
      </c>
      <c r="FT38" s="1139">
        <v>174.38700458694501</v>
      </c>
      <c r="FV38" s="167" t="s">
        <v>560</v>
      </c>
      <c r="FW38" s="337">
        <v>193.927885</v>
      </c>
      <c r="FX38" s="337">
        <v>129.18737999999999</v>
      </c>
      <c r="FY38" s="337">
        <v>117.749903</v>
      </c>
      <c r="FZ38" s="173">
        <v>90.768396999999993</v>
      </c>
      <c r="GA38" s="703">
        <v>194.34748046365263</v>
      </c>
      <c r="GB38" s="704">
        <v>140.30474892924164</v>
      </c>
      <c r="GC38" s="704">
        <v>102.90175198933969</v>
      </c>
      <c r="GD38" s="173">
        <v>119.22471511614597</v>
      </c>
      <c r="GE38" s="1137">
        <v>199.51693210704701</v>
      </c>
      <c r="GF38" s="1138">
        <v>101.748121769661</v>
      </c>
      <c r="GG38" s="1138">
        <v>49.574219640798901</v>
      </c>
      <c r="GH38" s="1139">
        <v>53.248532763292303</v>
      </c>
      <c r="GJ38" s="169" t="s">
        <v>560</v>
      </c>
      <c r="GK38" s="703">
        <v>1087.9987329999999</v>
      </c>
      <c r="GL38" s="704">
        <v>1017.9992329074508</v>
      </c>
      <c r="GM38" s="1139">
        <v>990.00094427144904</v>
      </c>
      <c r="GO38" s="169" t="s">
        <v>560</v>
      </c>
      <c r="GP38" s="703">
        <v>1038.7163009999999</v>
      </c>
      <c r="GQ38" s="704">
        <v>0</v>
      </c>
      <c r="GR38" s="173">
        <v>49.282432</v>
      </c>
      <c r="GS38" s="703">
        <v>981.54760415505484</v>
      </c>
      <c r="GT38" s="704">
        <v>2.9694287678959701</v>
      </c>
      <c r="GU38" s="173">
        <v>33.482199984499992</v>
      </c>
      <c r="GV38" s="1137">
        <v>929.96488138148095</v>
      </c>
      <c r="GW38" s="1138">
        <v>0</v>
      </c>
      <c r="GX38" s="1139">
        <v>60.036062889968598</v>
      </c>
      <c r="GZ38" s="169" t="s">
        <v>560</v>
      </c>
      <c r="HA38" s="172">
        <v>9.5781799999999997</v>
      </c>
      <c r="HB38" s="337">
        <v>1036.6094840000001</v>
      </c>
      <c r="HC38" s="173">
        <f t="shared" si="7"/>
        <v>41.811068999999861</v>
      </c>
      <c r="HD38" s="703">
        <v>12.174233530957601</v>
      </c>
      <c r="HE38" s="704">
        <v>1003.8250009395186</v>
      </c>
      <c r="HF38" s="173">
        <f t="shared" si="8"/>
        <v>1.9999984369745789</v>
      </c>
      <c r="HG38" s="583">
        <v>13.8422968690522</v>
      </c>
      <c r="HH38" s="1138">
        <v>958.06407445314005</v>
      </c>
      <c r="HI38" s="173">
        <f t="shared" si="9"/>
        <v>18.094572949256758</v>
      </c>
      <c r="HK38" s="169" t="s">
        <v>560</v>
      </c>
      <c r="HL38" s="704">
        <v>1038.7163009999999</v>
      </c>
      <c r="HM38" s="704">
        <v>3633.390922</v>
      </c>
      <c r="HN38" s="776">
        <f t="shared" si="10"/>
        <v>3.4979627435345315</v>
      </c>
      <c r="HO38" s="703">
        <v>981.54760415505484</v>
      </c>
      <c r="HP38" s="704">
        <v>3359.3643602689908</v>
      </c>
      <c r="HQ38" s="776">
        <f t="shared" si="11"/>
        <v>3.4225180175146277</v>
      </c>
      <c r="HR38" s="1138">
        <v>929.96488138148095</v>
      </c>
      <c r="HS38" s="1138">
        <v>2854.4852505572699</v>
      </c>
      <c r="HT38" s="784">
        <f t="shared" si="12"/>
        <v>3.0694548877124008</v>
      </c>
      <c r="HV38" s="169" t="s">
        <v>560</v>
      </c>
      <c r="HW38" s="172">
        <v>6.4532299999999996</v>
      </c>
      <c r="HX38" s="337">
        <v>22.687974000000001</v>
      </c>
      <c r="HY38" s="787">
        <f t="shared" si="13"/>
        <v>3.5157547460728971</v>
      </c>
      <c r="HZ38" s="704">
        <v>990.45200299999999</v>
      </c>
      <c r="IA38" s="704">
        <v>3545.2595369999999</v>
      </c>
      <c r="IB38" s="787">
        <f t="shared" si="14"/>
        <v>3.57943598100836</v>
      </c>
      <c r="IC38" s="703">
        <v>12.174233530957601</v>
      </c>
      <c r="ID38" s="704">
        <v>54.865221125942767</v>
      </c>
      <c r="IE38" s="787">
        <f t="shared" si="15"/>
        <v>4.5066673796282251</v>
      </c>
      <c r="IF38" s="704">
        <v>967.37337218712264</v>
      </c>
      <c r="IG38" s="704">
        <v>3302.4991407060738</v>
      </c>
      <c r="IH38" s="776">
        <f t="shared" si="16"/>
        <v>3.4138826182898687</v>
      </c>
      <c r="II38" s="1137">
        <v>6.60447503852523</v>
      </c>
      <c r="IJ38" s="1138">
        <v>32.6772346720225</v>
      </c>
      <c r="IK38" s="1170">
        <f t="shared" si="17"/>
        <v>4.9477414149360284</v>
      </c>
      <c r="IL38" s="1138">
        <v>905.26583339369802</v>
      </c>
      <c r="IM38" s="1138">
        <v>2774.7621262171801</v>
      </c>
      <c r="IN38" s="1171">
        <f t="shared" si="18"/>
        <v>3.0651351502077979</v>
      </c>
      <c r="IP38" s="169" t="s">
        <v>560</v>
      </c>
      <c r="IQ38" s="703">
        <v>86.313512000000003</v>
      </c>
      <c r="IR38" s="704">
        <v>91.797909000000004</v>
      </c>
      <c r="IS38" s="704">
        <v>376.27109999999999</v>
      </c>
      <c r="IT38" s="704">
        <v>261.872274</v>
      </c>
      <c r="IU38" s="704">
        <v>222.46150499999999</v>
      </c>
      <c r="IV38" s="704">
        <v>3633.390922</v>
      </c>
      <c r="IW38" s="703">
        <v>31.40483040483478</v>
      </c>
      <c r="IX38" s="704">
        <v>165.25975110863942</v>
      </c>
      <c r="IY38" s="704">
        <v>392.51620026817278</v>
      </c>
      <c r="IZ38" s="704">
        <v>218.13966195454293</v>
      </c>
      <c r="JA38" s="704">
        <v>174.22716041886491</v>
      </c>
      <c r="JB38" s="173">
        <v>3359.3643602689908</v>
      </c>
      <c r="JC38" s="1137">
        <v>53.7116699307945</v>
      </c>
      <c r="JD38" s="1138">
        <v>194.229354513597</v>
      </c>
      <c r="JE38" s="1138">
        <v>403.25358610819501</v>
      </c>
      <c r="JF38" s="1138">
        <v>219.22613753734001</v>
      </c>
      <c r="JG38" s="1138">
        <v>59.544133291554601</v>
      </c>
      <c r="JH38" s="1139">
        <v>2854.4852505572699</v>
      </c>
      <c r="JJ38" s="169" t="s">
        <v>560</v>
      </c>
      <c r="JK38" s="172">
        <v>3.328284</v>
      </c>
      <c r="JL38" s="337">
        <v>117.20332899999994</v>
      </c>
      <c r="JM38" s="337">
        <v>918.18468800000005</v>
      </c>
      <c r="JN38" s="173">
        <v>0</v>
      </c>
      <c r="JO38" s="703">
        <v>18.191449026804861</v>
      </c>
      <c r="JP38" s="704">
        <v>23.174224934317635</v>
      </c>
      <c r="JQ38" s="704">
        <v>940.18193019393243</v>
      </c>
      <c r="JR38" s="173">
        <v>0</v>
      </c>
      <c r="JS38" s="1137">
        <v>20.677162526038099</v>
      </c>
      <c r="JT38" s="1138">
        <v>44.038168454862898</v>
      </c>
      <c r="JU38" s="1138">
        <v>858.14686919994006</v>
      </c>
      <c r="JV38" s="1139">
        <v>7.1026812006391999</v>
      </c>
      <c r="JX38" s="169" t="s">
        <v>560</v>
      </c>
      <c r="JY38" s="703">
        <v>59.8072606089031</v>
      </c>
      <c r="JZ38" s="704">
        <v>232.118649568324</v>
      </c>
      <c r="KA38" s="704">
        <v>161.02077585147401</v>
      </c>
      <c r="KB38" s="173">
        <v>477.01819535278003</v>
      </c>
      <c r="KC38" s="603"/>
      <c r="KD38" s="169" t="s">
        <v>560</v>
      </c>
      <c r="KE38" s="703">
        <v>0</v>
      </c>
      <c r="KF38" s="704">
        <v>28.290579467253298</v>
      </c>
      <c r="KG38" s="704">
        <v>718.87693699231602</v>
      </c>
      <c r="KH38" s="704">
        <v>137.069528121562</v>
      </c>
      <c r="KI38" s="704">
        <v>17.545022201779201</v>
      </c>
      <c r="KJ38" s="173">
        <v>3.4837666107877898</v>
      </c>
      <c r="KK38" s="703">
        <v>0</v>
      </c>
      <c r="KL38" s="704">
        <v>0</v>
      </c>
      <c r="KM38" s="704">
        <v>6.60447503852523</v>
      </c>
      <c r="KN38" s="704">
        <v>0</v>
      </c>
      <c r="KO38" s="704">
        <v>0</v>
      </c>
      <c r="KP38" s="173">
        <v>0</v>
      </c>
      <c r="KQ38" s="703">
        <v>0</v>
      </c>
      <c r="KR38" s="704">
        <v>28.290579467253298</v>
      </c>
      <c r="KS38" s="704">
        <v>739.95707039024705</v>
      </c>
      <c r="KT38" s="704">
        <v>140.68844271141299</v>
      </c>
      <c r="KU38" s="704">
        <v>17.545022201779201</v>
      </c>
      <c r="KV38" s="173">
        <v>3.4837666107877898</v>
      </c>
      <c r="KW38" s="429"/>
      <c r="KX38" s="169" t="s">
        <v>560</v>
      </c>
      <c r="KY38" s="172">
        <f t="shared" si="19"/>
        <v>479.39674899999989</v>
      </c>
      <c r="KZ38" s="337">
        <v>462.906497</v>
      </c>
      <c r="LA38" s="173">
        <v>96.413055</v>
      </c>
      <c r="LB38" s="172">
        <f t="shared" si="3"/>
        <v>468.69132523030828</v>
      </c>
      <c r="LC38" s="704">
        <v>436.85936153432772</v>
      </c>
      <c r="LD38" s="173">
        <v>72.996919734957004</v>
      </c>
      <c r="LE38" s="172">
        <f t="shared" si="4"/>
        <v>539.88953778611392</v>
      </c>
      <c r="LF38" s="1138">
        <v>318.91009547651998</v>
      </c>
      <c r="LG38" s="1139">
        <v>74.165251165002104</v>
      </c>
      <c r="LH38" s="426"/>
      <c r="LI38" s="169" t="s">
        <v>560</v>
      </c>
      <c r="LJ38" s="703">
        <v>885.14664500000003</v>
      </c>
      <c r="LK38" s="704">
        <v>633.39211699999998</v>
      </c>
      <c r="LL38" s="704">
        <v>251.75452799999999</v>
      </c>
      <c r="LM38" s="704">
        <v>298.53225400000002</v>
      </c>
      <c r="LN38" s="704">
        <v>94.224996000000004</v>
      </c>
      <c r="LO38" s="173">
        <v>185.41233800000001</v>
      </c>
      <c r="LP38" s="703">
        <v>830.68342631912174</v>
      </c>
      <c r="LQ38" s="704">
        <v>528.25610902236156</v>
      </c>
      <c r="LR38" s="704">
        <v>302.42731729676018</v>
      </c>
      <c r="LS38" s="704">
        <v>203.35862235414075</v>
      </c>
      <c r="LT38" s="704">
        <v>63.589407508530783</v>
      </c>
      <c r="LU38" s="173">
        <v>216.81159141451539</v>
      </c>
      <c r="LV38" s="1137">
        <v>577.19063281290096</v>
      </c>
      <c r="LW38" s="1138">
        <v>341.98505050581502</v>
      </c>
      <c r="LX38" s="1138">
        <v>235.20558230708599</v>
      </c>
      <c r="LY38" s="1138">
        <v>144.14037981636801</v>
      </c>
      <c r="LZ38" s="1138">
        <v>77.714087254987902</v>
      </c>
      <c r="MA38" s="1139">
        <v>192.03376104547601</v>
      </c>
      <c r="MC38" s="169" t="s">
        <v>560</v>
      </c>
      <c r="MD38" s="703">
        <v>0</v>
      </c>
      <c r="ME38" s="704">
        <v>16.798268</v>
      </c>
      <c r="MF38" s="704">
        <v>6.6334600000000004</v>
      </c>
      <c r="MG38" s="704">
        <v>83.429232999999996</v>
      </c>
      <c r="MH38" s="704">
        <v>280.90752199999997</v>
      </c>
      <c r="MI38" s="173">
        <v>244.62363500000001</v>
      </c>
      <c r="MJ38" s="703">
        <v>0</v>
      </c>
      <c r="MK38" s="704">
        <v>18.284340266447401</v>
      </c>
      <c r="ML38" s="704">
        <v>9.0537355774429091</v>
      </c>
      <c r="MM38" s="704">
        <v>42.58226284632449</v>
      </c>
      <c r="MN38" s="704">
        <v>259.84630805507618</v>
      </c>
      <c r="MO38" s="173">
        <v>198.4894622770706</v>
      </c>
      <c r="MP38" s="1137">
        <v>0</v>
      </c>
      <c r="MQ38" s="1138">
        <v>13.9350664431512</v>
      </c>
      <c r="MR38" s="1138">
        <v>11.9735821110374</v>
      </c>
      <c r="MS38" s="1138">
        <v>59.459485876176899</v>
      </c>
      <c r="MT38" s="1138">
        <v>152.795585559964</v>
      </c>
      <c r="MU38" s="1139">
        <v>105.821332546256</v>
      </c>
      <c r="MW38" s="169" t="s">
        <v>560</v>
      </c>
      <c r="MX38" s="172">
        <v>636.362979</v>
      </c>
      <c r="MY38" s="337">
        <v>606.33731599999999</v>
      </c>
      <c r="MZ38" s="337">
        <v>30.025662000000001</v>
      </c>
      <c r="NA38" s="703">
        <v>534.19496191686073</v>
      </c>
      <c r="NB38" s="704">
        <v>476.1910425908311</v>
      </c>
      <c r="NC38" s="173">
        <v>58.003919326029617</v>
      </c>
      <c r="ND38" s="1137">
        <v>359.809327496945</v>
      </c>
      <c r="NE38" s="1138">
        <v>317.72888607876803</v>
      </c>
      <c r="NF38" s="1139">
        <v>42.080441418177003</v>
      </c>
      <c r="NH38" s="169" t="s">
        <v>560</v>
      </c>
      <c r="NI38" s="703">
        <v>325.80136256818628</v>
      </c>
      <c r="NJ38" s="173">
        <v>150.38968002264485</v>
      </c>
      <c r="NK38" s="703">
        <v>33.481577543400888</v>
      </c>
      <c r="NL38" s="704">
        <v>15.37111199766702</v>
      </c>
      <c r="NM38" s="173">
        <v>9.1512297849617106</v>
      </c>
      <c r="NN38" s="1137">
        <v>207.645615517837</v>
      </c>
      <c r="NO38" s="1139">
        <v>110.08327056093086</v>
      </c>
      <c r="NP38" s="1137">
        <v>42.080441418177003</v>
      </c>
      <c r="NQ38" s="1138">
        <v>0</v>
      </c>
      <c r="NR38" s="1139">
        <v>0</v>
      </c>
      <c r="NS38" s="136"/>
      <c r="NT38" s="169" t="s">
        <v>560</v>
      </c>
      <c r="NU38" s="703">
        <v>93.092278692160164</v>
      </c>
      <c r="NV38" s="704">
        <v>34.748716233369386</v>
      </c>
      <c r="NW38" s="704">
        <v>12.33459191607137</v>
      </c>
      <c r="NX38" s="173">
        <v>10.21409318104395</v>
      </c>
      <c r="NY38" s="1137">
        <v>80.541409464552501</v>
      </c>
      <c r="NZ38" s="1138">
        <v>17.817791225204601</v>
      </c>
      <c r="OA38" s="1138">
        <v>7.1051542659373297</v>
      </c>
      <c r="OB38" s="1139">
        <v>4.6189156052364302</v>
      </c>
      <c r="OC38" s="553"/>
      <c r="OD38" s="169" t="s">
        <v>560</v>
      </c>
      <c r="OE38" s="703">
        <v>60.370777171679997</v>
      </c>
      <c r="OF38" s="704">
        <v>106.621167175735</v>
      </c>
      <c r="OG38" s="704">
        <v>53.3361433589969</v>
      </c>
      <c r="OH38" s="704">
        <v>42.029220925716501</v>
      </c>
      <c r="OI38" s="704">
        <v>116.223199020728</v>
      </c>
      <c r="OJ38" s="704">
        <v>24.433396385306899</v>
      </c>
      <c r="OK38" s="173">
        <v>42.275988496101</v>
      </c>
      <c r="OL38" s="703">
        <v>67.4734583723192</v>
      </c>
      <c r="OM38" s="704">
        <v>106.621167175735</v>
      </c>
      <c r="ON38" s="704">
        <v>56.957531014146397</v>
      </c>
      <c r="OO38" s="704">
        <v>42.029220925716501</v>
      </c>
      <c r="OP38" s="704">
        <v>175.63541767549</v>
      </c>
      <c r="OQ38" s="704">
        <v>84.163178219611098</v>
      </c>
      <c r="OR38" s="173">
        <v>1192.3801650616799</v>
      </c>
      <c r="OT38" s="169" t="s">
        <v>560</v>
      </c>
      <c r="OU38" s="172">
        <v>808.80776200000003</v>
      </c>
      <c r="OV38" s="337">
        <v>406.36407200000002</v>
      </c>
      <c r="OW38" s="337">
        <v>166.68731199999999</v>
      </c>
      <c r="OX38" s="173">
        <v>106.041096</v>
      </c>
      <c r="OY38" s="703">
        <v>797.26725013124747</v>
      </c>
      <c r="OZ38" s="704">
        <v>327.28498821339889</v>
      </c>
      <c r="PA38" s="704">
        <v>182.72292090515856</v>
      </c>
      <c r="PB38" s="173">
        <v>146.50393347598404</v>
      </c>
      <c r="PC38" s="1137">
        <v>622.10132171425516</v>
      </c>
      <c r="PD38" s="1138">
        <v>353.747651991368</v>
      </c>
      <c r="PE38" s="1138">
        <v>149.474566205185</v>
      </c>
      <c r="PF38" s="1139">
        <v>143.92263714383421</v>
      </c>
      <c r="PH38" s="169" t="s">
        <v>560</v>
      </c>
      <c r="PI38" s="703">
        <v>225.9067618531428</v>
      </c>
      <c r="PJ38" s="704">
        <v>147.65670250278399</v>
      </c>
      <c r="PK38" s="704">
        <v>70.019813872687195</v>
      </c>
      <c r="PL38" s="173">
        <v>52.350974638164402</v>
      </c>
      <c r="PM38" s="703">
        <v>396.19455986111228</v>
      </c>
      <c r="PN38" s="704">
        <v>206.09094948858399</v>
      </c>
      <c r="PO38" s="704">
        <v>79.454752332497407</v>
      </c>
      <c r="PP38" s="173">
        <v>91.571662505669707</v>
      </c>
      <c r="PQ38" s="65"/>
      <c r="PR38" s="169" t="s">
        <v>560</v>
      </c>
      <c r="PS38" s="1038">
        <v>14.2314113749522</v>
      </c>
      <c r="PT38" s="1039">
        <v>28.241176311539</v>
      </c>
      <c r="PU38" s="1039">
        <v>14.2053624012784</v>
      </c>
      <c r="PV38" s="1039">
        <v>0</v>
      </c>
      <c r="PW38" s="1039">
        <v>140.580838366233</v>
      </c>
      <c r="PX38" s="1040">
        <v>164.550541073712</v>
      </c>
      <c r="PZ38" s="169" t="s">
        <v>560</v>
      </c>
      <c r="QA38" s="1038">
        <v>253.74497447676401</v>
      </c>
      <c r="QB38" s="1039">
        <v>106.064353020181</v>
      </c>
      <c r="QC38" s="1039">
        <v>91.156162055314994</v>
      </c>
      <c r="QD38" s="1039">
        <v>11.4333831853017</v>
      </c>
      <c r="QE38" s="1039">
        <v>3.4748077795644199</v>
      </c>
      <c r="QF38" s="1040">
        <v>0</v>
      </c>
    </row>
    <row r="39" spans="1:448" ht="13.5" customHeight="1">
      <c r="A39" s="591" t="s">
        <v>504</v>
      </c>
      <c r="B39" s="167" t="s">
        <v>561</v>
      </c>
      <c r="C39" s="1103">
        <v>1922.9256789999999</v>
      </c>
      <c r="D39" s="690">
        <v>1879.743385762386</v>
      </c>
      <c r="E39" s="691">
        <v>1685.98086411604</v>
      </c>
      <c r="F39" s="428"/>
      <c r="G39" s="169" t="s">
        <v>561</v>
      </c>
      <c r="H39" s="577">
        <f t="shared" si="5"/>
        <v>-4.5322077693014107E-3</v>
      </c>
      <c r="I39" s="668">
        <f t="shared" si="6"/>
        <v>-2.1522563992298793E-2</v>
      </c>
      <c r="J39" s="612"/>
      <c r="K39" s="63"/>
      <c r="L39" s="167" t="s">
        <v>561</v>
      </c>
      <c r="M39" s="636">
        <v>40</v>
      </c>
      <c r="N39" s="637">
        <v>46</v>
      </c>
      <c r="O39" s="637">
        <v>33</v>
      </c>
      <c r="P39" s="637">
        <v>36</v>
      </c>
      <c r="Q39" s="637">
        <v>41</v>
      </c>
      <c r="R39" s="637">
        <v>33</v>
      </c>
      <c r="S39" s="637">
        <v>23</v>
      </c>
      <c r="T39" s="637">
        <v>43</v>
      </c>
      <c r="U39" s="1138">
        <v>32</v>
      </c>
      <c r="V39" s="1138">
        <v>31</v>
      </c>
      <c r="W39" s="1139">
        <v>40</v>
      </c>
      <c r="X39" s="169" t="s">
        <v>561</v>
      </c>
      <c r="Y39" s="666">
        <v>43</v>
      </c>
      <c r="Z39" s="667">
        <v>34.5</v>
      </c>
      <c r="AA39" s="667">
        <v>37</v>
      </c>
      <c r="AB39" s="667">
        <v>33</v>
      </c>
      <c r="AC39" s="667">
        <v>33</v>
      </c>
      <c r="AD39" s="668">
        <v>-0.19767441860465115</v>
      </c>
      <c r="AE39" s="668">
        <v>7.2463768115942032E-2</v>
      </c>
      <c r="AF39" s="668">
        <v>-0.10810810810810811</v>
      </c>
      <c r="AG39" s="1213">
        <v>7.2463768115942032E-2</v>
      </c>
      <c r="AN39" s="169" t="s">
        <v>561</v>
      </c>
      <c r="AO39" s="636">
        <v>0</v>
      </c>
      <c r="AP39" s="637">
        <v>44.669530000000002</v>
      </c>
      <c r="AQ39" s="637">
        <v>43.724345</v>
      </c>
      <c r="AR39" s="637">
        <v>140.972757</v>
      </c>
      <c r="AS39" s="637">
        <v>281.94340999999997</v>
      </c>
      <c r="AT39" s="637">
        <v>284.16076700000002</v>
      </c>
      <c r="AU39" s="637">
        <v>257.118787</v>
      </c>
      <c r="AV39" s="173">
        <v>390.31900400000001</v>
      </c>
      <c r="AW39" s="636">
        <v>0</v>
      </c>
      <c r="AX39" s="637">
        <v>32.676926112784408</v>
      </c>
      <c r="AY39" s="637">
        <v>40.47813981743414</v>
      </c>
      <c r="AZ39" s="637">
        <v>102.07224643972746</v>
      </c>
      <c r="BA39" s="637">
        <v>276.5026959462781</v>
      </c>
      <c r="BB39" s="637">
        <v>288.88737740038704</v>
      </c>
      <c r="BC39" s="637">
        <v>261.09303620154566</v>
      </c>
      <c r="BD39" s="173">
        <v>355.74807952886857</v>
      </c>
      <c r="BE39" s="1137">
        <v>0</v>
      </c>
      <c r="BF39" s="1138">
        <v>25.147493040108301</v>
      </c>
      <c r="BG39" s="1138">
        <v>41.660877578277201</v>
      </c>
      <c r="BH39" s="1138">
        <v>111.98819277528401</v>
      </c>
      <c r="BI39" s="1138">
        <v>232.836261816171</v>
      </c>
      <c r="BJ39" s="1138">
        <v>249.11022065909799</v>
      </c>
      <c r="BK39" s="1138">
        <v>197.36971971686401</v>
      </c>
      <c r="BL39" s="1139">
        <v>424.81181934476001</v>
      </c>
      <c r="BN39" s="169" t="s">
        <v>561</v>
      </c>
      <c r="BO39" s="647">
        <v>480.01707900000002</v>
      </c>
      <c r="BP39" s="648">
        <v>474.86940700000002</v>
      </c>
      <c r="BQ39" s="648">
        <v>376.43827900000002</v>
      </c>
      <c r="BR39" s="648">
        <v>341.723074</v>
      </c>
      <c r="BS39" s="648">
        <v>163.11591300000001</v>
      </c>
      <c r="BT39" s="173">
        <v>86.761927</v>
      </c>
      <c r="BU39" s="647">
        <v>522.2848843153605</v>
      </c>
      <c r="BV39" s="648">
        <v>378.92513775603527</v>
      </c>
      <c r="BW39" s="648">
        <v>327.49782909213548</v>
      </c>
      <c r="BX39" s="648">
        <v>344.39379206522017</v>
      </c>
      <c r="BY39" s="648">
        <v>196.44901638953931</v>
      </c>
      <c r="BZ39" s="173">
        <v>110.19272614409519</v>
      </c>
      <c r="CA39" s="1137">
        <v>403.05627918547299</v>
      </c>
      <c r="CB39" s="1138">
        <v>445.874305021998</v>
      </c>
      <c r="CC39" s="1138">
        <v>311.84221762350302</v>
      </c>
      <c r="CD39" s="1138">
        <v>270.41899542416701</v>
      </c>
      <c r="CE39" s="1138">
        <v>168.38621548379101</v>
      </c>
      <c r="CF39" s="1139">
        <v>86.402851377103204</v>
      </c>
      <c r="CG39" s="429"/>
      <c r="CH39" s="169" t="s">
        <v>561</v>
      </c>
      <c r="CI39" s="172">
        <v>631.33750299999997</v>
      </c>
      <c r="CJ39" s="337">
        <v>1121.7936689999999</v>
      </c>
      <c r="CK39" s="337">
        <v>169.79450700000001</v>
      </c>
      <c r="CL39" s="647">
        <v>666.41251189635443</v>
      </c>
      <c r="CM39" s="648">
        <v>994.39225212377255</v>
      </c>
      <c r="CN39" s="648">
        <v>218.93862174225899</v>
      </c>
      <c r="CO39" s="1137">
        <v>558.34030420486602</v>
      </c>
      <c r="CP39" s="1138">
        <v>942.567895648687</v>
      </c>
      <c r="CQ39" s="1139">
        <v>185.07266426248299</v>
      </c>
      <c r="CR39" s="429"/>
      <c r="CS39" s="426"/>
      <c r="CT39" s="434"/>
      <c r="CU39" s="426"/>
      <c r="CV39" s="434"/>
      <c r="CW39" s="426"/>
      <c r="CX39" s="434"/>
      <c r="CY39" s="426"/>
      <c r="CZ39" s="434"/>
      <c r="DB39" s="426"/>
      <c r="DC39" s="426"/>
      <c r="DD39" s="426"/>
      <c r="DE39" s="426"/>
      <c r="DG39" s="169" t="s">
        <v>561</v>
      </c>
      <c r="DH39" s="1147" t="s">
        <v>753</v>
      </c>
      <c r="DI39" s="1150" t="s">
        <v>912</v>
      </c>
      <c r="DJ39" s="704" t="s">
        <v>913</v>
      </c>
      <c r="DK39" s="704" t="s">
        <v>914</v>
      </c>
      <c r="DL39" s="337" t="s">
        <v>915</v>
      </c>
      <c r="DM39" s="174" t="s">
        <v>830</v>
      </c>
      <c r="DO39" s="167" t="s">
        <v>561</v>
      </c>
      <c r="DP39" s="704">
        <v>836.68054099999995</v>
      </c>
      <c r="DQ39" s="337">
        <v>763.50754989219843</v>
      </c>
      <c r="DR39" s="1139">
        <v>754.39290699291598</v>
      </c>
      <c r="DS39" s="63"/>
      <c r="DT39" s="169" t="s">
        <v>561</v>
      </c>
      <c r="DU39" s="172">
        <v>1922.9256789999999</v>
      </c>
      <c r="DV39" s="337">
        <v>1879.743385762386</v>
      </c>
      <c r="DW39" s="1139">
        <v>1685.98086411604</v>
      </c>
      <c r="DX39" s="63"/>
      <c r="DY39" s="169" t="s">
        <v>561</v>
      </c>
      <c r="DZ39" s="1089">
        <f t="shared" si="0"/>
        <v>2.298279432555848</v>
      </c>
      <c r="EA39" s="787">
        <f t="shared" si="1"/>
        <v>2.4619840184000692</v>
      </c>
      <c r="EB39" s="776">
        <f t="shared" si="2"/>
        <v>2.234884300326371</v>
      </c>
      <c r="ED39" s="541"/>
      <c r="EE39" s="169" t="s">
        <v>561</v>
      </c>
      <c r="EF39" s="735">
        <v>375.34880600000002</v>
      </c>
      <c r="EG39" s="736">
        <v>19.8371</v>
      </c>
      <c r="EH39" s="736">
        <v>137.866488</v>
      </c>
      <c r="EI39" s="736">
        <v>204.12985800000001</v>
      </c>
      <c r="EJ39" s="736">
        <v>99.498289</v>
      </c>
      <c r="EK39" s="703">
        <v>324.99366888235767</v>
      </c>
      <c r="EL39" s="704">
        <v>31.175480729338151</v>
      </c>
      <c r="EM39" s="704">
        <v>85.260534291207975</v>
      </c>
      <c r="EN39" s="704">
        <v>191.40935563531551</v>
      </c>
      <c r="EO39" s="704">
        <v>130.66851035397912</v>
      </c>
      <c r="EP39" s="1137">
        <v>372.58184014257102</v>
      </c>
      <c r="EQ39" s="1138">
        <v>11.280254595872499</v>
      </c>
      <c r="ER39" s="1138">
        <v>107.162966735281</v>
      </c>
      <c r="ES39" s="1138">
        <v>155.95726869882299</v>
      </c>
      <c r="ET39" s="1139">
        <v>107.41057682036799</v>
      </c>
      <c r="EV39" s="169" t="s">
        <v>561</v>
      </c>
      <c r="EW39" s="703">
        <v>77.173539000000005</v>
      </c>
      <c r="EX39" s="704">
        <v>145.81243499999999</v>
      </c>
      <c r="EY39" s="704">
        <v>123.851176</v>
      </c>
      <c r="EZ39" s="704">
        <v>28.511657</v>
      </c>
      <c r="FA39" s="703">
        <v>320.96136200000001</v>
      </c>
      <c r="FB39" s="704">
        <v>784.92073500000004</v>
      </c>
      <c r="FC39" s="704">
        <v>276.60911800000002</v>
      </c>
      <c r="FD39" s="704">
        <v>60.417385000000003</v>
      </c>
      <c r="FE39" s="703">
        <v>11.91488637354464</v>
      </c>
      <c r="FF39" s="704">
        <v>119.02665945926688</v>
      </c>
      <c r="FG39" s="704">
        <v>142.55475103035559</v>
      </c>
      <c r="FH39" s="173">
        <v>51.497372019190529</v>
      </c>
      <c r="FI39" s="703">
        <v>270.37178695056127</v>
      </c>
      <c r="FJ39" s="704">
        <v>696.57425141208932</v>
      </c>
      <c r="FK39" s="746">
        <v>317.45607638223919</v>
      </c>
      <c r="FL39" s="747">
        <v>73.056386702135711</v>
      </c>
      <c r="FM39" s="1137">
        <v>72.070588689412602</v>
      </c>
      <c r="FN39" s="1138">
        <v>158.19612591004099</v>
      </c>
      <c r="FO39" s="1138">
        <v>104.061799082785</v>
      </c>
      <c r="FP39" s="1139">
        <v>38.253326460332403</v>
      </c>
      <c r="FQ39" s="1137">
        <v>330.50025201177999</v>
      </c>
      <c r="FR39" s="1138">
        <v>619.08764093480499</v>
      </c>
      <c r="FS39" s="1138">
        <v>275.58205587233903</v>
      </c>
      <c r="FT39" s="1139">
        <v>57.754636111636998</v>
      </c>
      <c r="FV39" s="167" t="s">
        <v>561</v>
      </c>
      <c r="FW39" s="337">
        <v>159.46801199999999</v>
      </c>
      <c r="FX39" s="337">
        <v>95.140158999999997</v>
      </c>
      <c r="FY39" s="337">
        <v>90.252982000000003</v>
      </c>
      <c r="FZ39" s="173">
        <v>103.757578</v>
      </c>
      <c r="GA39" s="703">
        <v>110.47963107197296</v>
      </c>
      <c r="GB39" s="704">
        <v>90.231982415076004</v>
      </c>
      <c r="GC39" s="704">
        <v>94.593371621691375</v>
      </c>
      <c r="GD39" s="173">
        <v>112.03341517176227</v>
      </c>
      <c r="GE39" s="1137">
        <v>129.47209736755801</v>
      </c>
      <c r="GF39" s="1138">
        <v>91.175731553811104</v>
      </c>
      <c r="GG39" s="1138">
        <v>57.5235332612246</v>
      </c>
      <c r="GH39" s="1139">
        <v>95.544889802162288</v>
      </c>
      <c r="GJ39" s="169" t="s">
        <v>561</v>
      </c>
      <c r="GK39" s="703">
        <v>934.99897899999996</v>
      </c>
      <c r="GL39" s="704">
        <v>880.99940330866286</v>
      </c>
      <c r="GM39" s="1139">
        <v>894.00076599847796</v>
      </c>
      <c r="GO39" s="169" t="s">
        <v>561</v>
      </c>
      <c r="GP39" s="703">
        <v>836.68054099999995</v>
      </c>
      <c r="GQ39" s="704">
        <v>13.370844999999999</v>
      </c>
      <c r="GR39" s="173">
        <v>84.947592999999998</v>
      </c>
      <c r="GS39" s="703">
        <v>763.50754989219843</v>
      </c>
      <c r="GT39" s="704">
        <v>7.3469628201618802</v>
      </c>
      <c r="GU39" s="173">
        <v>110.14489059630262</v>
      </c>
      <c r="GV39" s="1137">
        <v>754.39290699291598</v>
      </c>
      <c r="GW39" s="1138">
        <v>16.042565500454401</v>
      </c>
      <c r="GX39" s="1139">
        <v>123.565293505108</v>
      </c>
      <c r="GZ39" s="169" t="s">
        <v>561</v>
      </c>
      <c r="HA39" s="172">
        <v>120.027022</v>
      </c>
      <c r="HB39" s="337">
        <v>807.62942899999996</v>
      </c>
      <c r="HC39" s="173">
        <f t="shared" si="7"/>
        <v>7.3425280000000157</v>
      </c>
      <c r="HD39" s="703">
        <v>145.55750477932912</v>
      </c>
      <c r="HE39" s="704">
        <v>724.45213086088779</v>
      </c>
      <c r="HF39" s="173">
        <f t="shared" si="8"/>
        <v>10.989767668446007</v>
      </c>
      <c r="HG39" s="583">
        <v>79.839605545567096</v>
      </c>
      <c r="HH39" s="1138">
        <v>809.25731157775101</v>
      </c>
      <c r="HI39" s="173">
        <f t="shared" si="9"/>
        <v>4.9038488751598379</v>
      </c>
      <c r="HK39" s="169" t="s">
        <v>561</v>
      </c>
      <c r="HL39" s="704">
        <v>836.68054099999995</v>
      </c>
      <c r="HM39" s="704">
        <v>2566.0650390000001</v>
      </c>
      <c r="HN39" s="776">
        <f t="shared" si="10"/>
        <v>3.0669591477925864</v>
      </c>
      <c r="HO39" s="703">
        <v>763.50754989219843</v>
      </c>
      <c r="HP39" s="704">
        <v>2616.4976828872923</v>
      </c>
      <c r="HQ39" s="776">
        <f t="shared" si="11"/>
        <v>3.4269440862198706</v>
      </c>
      <c r="HR39" s="1138">
        <v>754.39290699291598</v>
      </c>
      <c r="HS39" s="1138">
        <v>2264.3855506267801</v>
      </c>
      <c r="HT39" s="784">
        <f t="shared" si="12"/>
        <v>3.0015997362075457</v>
      </c>
      <c r="HV39" s="169" t="s">
        <v>561</v>
      </c>
      <c r="HW39" s="172">
        <v>95.879041000000001</v>
      </c>
      <c r="HX39" s="337">
        <v>418.59118999999998</v>
      </c>
      <c r="HY39" s="787">
        <f t="shared" si="13"/>
        <v>4.3658257908524556</v>
      </c>
      <c r="HZ39" s="704">
        <v>733.45897200000002</v>
      </c>
      <c r="IA39" s="704">
        <v>2114.4324750000001</v>
      </c>
      <c r="IB39" s="787">
        <f t="shared" si="14"/>
        <v>2.8828231103838755</v>
      </c>
      <c r="IC39" s="703">
        <v>115.46583472425183</v>
      </c>
      <c r="ID39" s="704">
        <v>490.74487406324198</v>
      </c>
      <c r="IE39" s="787">
        <f t="shared" si="15"/>
        <v>4.2501305709624644</v>
      </c>
      <c r="IF39" s="704">
        <v>637.05194749950056</v>
      </c>
      <c r="IG39" s="704">
        <v>2100.0691269987706</v>
      </c>
      <c r="IH39" s="776">
        <f t="shared" si="16"/>
        <v>3.2965429824706987</v>
      </c>
      <c r="II39" s="1137">
        <v>75.155558018794693</v>
      </c>
      <c r="IJ39" s="1138">
        <v>306.43693015354103</v>
      </c>
      <c r="IK39" s="1170">
        <f t="shared" si="17"/>
        <v>4.077368836472588</v>
      </c>
      <c r="IL39" s="1138">
        <v>674.33350009896105</v>
      </c>
      <c r="IM39" s="1138">
        <v>1953.0447715980699</v>
      </c>
      <c r="IN39" s="1171">
        <f t="shared" si="18"/>
        <v>2.8962594492361022</v>
      </c>
      <c r="IP39" s="169" t="s">
        <v>561</v>
      </c>
      <c r="IQ39" s="703">
        <v>205.14189099999999</v>
      </c>
      <c r="IR39" s="704">
        <v>94.656026999999995</v>
      </c>
      <c r="IS39" s="704">
        <v>163.695143</v>
      </c>
      <c r="IT39" s="704">
        <v>241.68995200000001</v>
      </c>
      <c r="IU39" s="704">
        <v>131.49752799999999</v>
      </c>
      <c r="IV39" s="704">
        <v>2566.0650390000001</v>
      </c>
      <c r="IW39" s="703">
        <v>43.339548985098652</v>
      </c>
      <c r="IX39" s="704">
        <v>113.41966920871108</v>
      </c>
      <c r="IY39" s="704">
        <v>237.48994747191443</v>
      </c>
      <c r="IZ39" s="704">
        <v>253.21784954652463</v>
      </c>
      <c r="JA39" s="704">
        <v>116.04053467994956</v>
      </c>
      <c r="JB39" s="173">
        <v>2616.4976828872923</v>
      </c>
      <c r="JC39" s="1137">
        <v>92.253661017475395</v>
      </c>
      <c r="JD39" s="1138">
        <v>213.58881409647</v>
      </c>
      <c r="JE39" s="1138">
        <v>159.43242895588199</v>
      </c>
      <c r="JF39" s="1138">
        <v>205.072642932675</v>
      </c>
      <c r="JG39" s="1138">
        <v>84.045359990413402</v>
      </c>
      <c r="JH39" s="1139">
        <v>2264.3855506267801</v>
      </c>
      <c r="JJ39" s="169" t="s">
        <v>561</v>
      </c>
      <c r="JK39" s="172">
        <v>113.036365</v>
      </c>
      <c r="JL39" s="337">
        <v>241.46616500000005</v>
      </c>
      <c r="JM39" s="337">
        <v>471.16422</v>
      </c>
      <c r="JN39" s="173">
        <v>11.013790999999999</v>
      </c>
      <c r="JO39" s="703">
        <v>118.88307628476188</v>
      </c>
      <c r="JP39" s="704">
        <v>57.506073964394773</v>
      </c>
      <c r="JQ39" s="704">
        <v>583.47558905301264</v>
      </c>
      <c r="JR39" s="173">
        <v>3.6428105900291001</v>
      </c>
      <c r="JS39" s="1137">
        <v>90.013444679169694</v>
      </c>
      <c r="JT39" s="1138">
        <v>161.29468974634801</v>
      </c>
      <c r="JU39" s="1138">
        <v>484.94486559429401</v>
      </c>
      <c r="JV39" s="1139">
        <v>18.139906973104001</v>
      </c>
      <c r="JX39" s="169" t="s">
        <v>561</v>
      </c>
      <c r="JY39" s="703">
        <v>104.99142877299199</v>
      </c>
      <c r="JZ39" s="704">
        <v>206.820378752805</v>
      </c>
      <c r="KA39" s="704">
        <v>109.227725848221</v>
      </c>
      <c r="KB39" s="173">
        <v>333.35337361889799</v>
      </c>
      <c r="KC39" s="603"/>
      <c r="KD39" s="169" t="s">
        <v>561</v>
      </c>
      <c r="KE39" s="703">
        <v>3.30901452448611</v>
      </c>
      <c r="KF39" s="704">
        <v>12.5552750211243</v>
      </c>
      <c r="KG39" s="704">
        <v>479.57630400874001</v>
      </c>
      <c r="KH39" s="704">
        <v>120.80801637414299</v>
      </c>
      <c r="KI39" s="704">
        <v>51.598627571484599</v>
      </c>
      <c r="KJ39" s="173">
        <v>6.4862625989835303</v>
      </c>
      <c r="KK39" s="703">
        <v>6.4862625989835303</v>
      </c>
      <c r="KL39" s="704">
        <v>28.06548801292</v>
      </c>
      <c r="KM39" s="704">
        <v>22.989422793416399</v>
      </c>
      <c r="KN39" s="704">
        <v>3.18543973028385</v>
      </c>
      <c r="KO39" s="704">
        <v>2.6715593844729999</v>
      </c>
      <c r="KP39" s="173">
        <v>11.757385498718</v>
      </c>
      <c r="KQ39" s="703">
        <v>9.7952771234696403</v>
      </c>
      <c r="KR39" s="704">
        <v>40.620763034044302</v>
      </c>
      <c r="KS39" s="704">
        <v>507.46957567731602</v>
      </c>
      <c r="KT39" s="704">
        <v>123.993456104427</v>
      </c>
      <c r="KU39" s="704">
        <v>54.270186955957598</v>
      </c>
      <c r="KV39" s="173">
        <v>18.243648097701499</v>
      </c>
      <c r="KW39" s="429"/>
      <c r="KX39" s="169" t="s">
        <v>561</v>
      </c>
      <c r="KY39" s="172">
        <f t="shared" si="19"/>
        <v>303.29955099999995</v>
      </c>
      <c r="KZ39" s="337">
        <v>414.50323300000002</v>
      </c>
      <c r="LA39" s="173">
        <v>118.877757</v>
      </c>
      <c r="LB39" s="172">
        <f t="shared" si="3"/>
        <v>344.04373238538142</v>
      </c>
      <c r="LC39" s="704">
        <v>353.19041476521249</v>
      </c>
      <c r="LD39" s="173">
        <v>66.273402741604514</v>
      </c>
      <c r="LE39" s="172">
        <f t="shared" si="4"/>
        <v>324.48537009465798</v>
      </c>
      <c r="LF39" s="1138">
        <v>331.02547326475002</v>
      </c>
      <c r="LG39" s="1139">
        <v>98.882063633507997</v>
      </c>
      <c r="LH39" s="426"/>
      <c r="LI39" s="169" t="s">
        <v>561</v>
      </c>
      <c r="LJ39" s="703">
        <v>842.12778300000002</v>
      </c>
      <c r="LK39" s="704">
        <v>610.26794299999995</v>
      </c>
      <c r="LL39" s="704">
        <v>231.85983899999999</v>
      </c>
      <c r="LM39" s="704">
        <v>147.11922899999999</v>
      </c>
      <c r="LN39" s="704">
        <v>97.992393000000007</v>
      </c>
      <c r="LO39" s="173">
        <v>185.87468799999999</v>
      </c>
      <c r="LP39" s="703">
        <v>774.29362262336156</v>
      </c>
      <c r="LQ39" s="704">
        <v>537.43445986574841</v>
      </c>
      <c r="LR39" s="704">
        <v>236.85916275761321</v>
      </c>
      <c r="LS39" s="704">
        <v>148.92675840525877</v>
      </c>
      <c r="LT39" s="704">
        <v>55.104042695364448</v>
      </c>
      <c r="LU39" s="173">
        <v>160.19545598078165</v>
      </c>
      <c r="LV39" s="1137">
        <v>705.98441980539201</v>
      </c>
      <c r="LW39" s="1138">
        <v>478.22374324864802</v>
      </c>
      <c r="LX39" s="1138">
        <v>227.76067655674399</v>
      </c>
      <c r="LY39" s="1138">
        <v>151.442570031592</v>
      </c>
      <c r="LZ39" s="1138">
        <v>36.483797513386698</v>
      </c>
      <c r="MA39" s="1139">
        <v>203.94113331770799</v>
      </c>
      <c r="MC39" s="169" t="s">
        <v>561</v>
      </c>
      <c r="MD39" s="703">
        <v>0</v>
      </c>
      <c r="ME39" s="704">
        <v>37.301335999999999</v>
      </c>
      <c r="MF39" s="704">
        <v>40.027414</v>
      </c>
      <c r="MG39" s="704">
        <v>114.973893</v>
      </c>
      <c r="MH39" s="704">
        <v>217.51903200000001</v>
      </c>
      <c r="MI39" s="173">
        <v>200.446268</v>
      </c>
      <c r="MJ39" s="703">
        <v>0</v>
      </c>
      <c r="MK39" s="704">
        <v>29.003447573575961</v>
      </c>
      <c r="ML39" s="704">
        <v>26.148978605251411</v>
      </c>
      <c r="MM39" s="704">
        <v>93.727890828501558</v>
      </c>
      <c r="MN39" s="704">
        <v>191.58439110896308</v>
      </c>
      <c r="MO39" s="173">
        <v>196.96975174945641</v>
      </c>
      <c r="MP39" s="1137">
        <v>0</v>
      </c>
      <c r="MQ39" s="1138">
        <v>12.408399514614</v>
      </c>
      <c r="MR39" s="1138">
        <v>32.3898502274428</v>
      </c>
      <c r="MS39" s="1138">
        <v>78.154518823233104</v>
      </c>
      <c r="MT39" s="1138">
        <v>178.520342374167</v>
      </c>
      <c r="MU39" s="1139">
        <v>176.75063230919099</v>
      </c>
      <c r="MW39" s="169" t="s">
        <v>561</v>
      </c>
      <c r="MX39" s="172">
        <v>610.26794299999995</v>
      </c>
      <c r="MY39" s="337">
        <v>562.153009</v>
      </c>
      <c r="MZ39" s="337">
        <v>48.114935000000003</v>
      </c>
      <c r="NA39" s="703">
        <v>537.43445986574841</v>
      </c>
      <c r="NB39" s="704">
        <v>503.79627513401022</v>
      </c>
      <c r="NC39" s="173">
        <v>33.638184731738228</v>
      </c>
      <c r="ND39" s="1137">
        <v>478.22374324864802</v>
      </c>
      <c r="NE39" s="1138">
        <v>442.61982503463298</v>
      </c>
      <c r="NF39" s="1139">
        <v>35.603918214015003</v>
      </c>
      <c r="NH39" s="169" t="s">
        <v>561</v>
      </c>
      <c r="NI39" s="703">
        <v>352.80683909479609</v>
      </c>
      <c r="NJ39" s="173">
        <v>150.98943603921413</v>
      </c>
      <c r="NK39" s="703">
        <v>22.684556977147409</v>
      </c>
      <c r="NL39" s="704">
        <v>10.953627754590819</v>
      </c>
      <c r="NM39" s="173">
        <v>0</v>
      </c>
      <c r="NN39" s="1137">
        <v>247.79923910449901</v>
      </c>
      <c r="NO39" s="1139">
        <v>194.82058593013437</v>
      </c>
      <c r="NP39" s="1137">
        <v>31.4797705977054</v>
      </c>
      <c r="NQ39" s="1138">
        <v>4.1241476163096102</v>
      </c>
      <c r="NR39" s="1139">
        <v>0</v>
      </c>
      <c r="NS39" s="136"/>
      <c r="NT39" s="169" t="s">
        <v>561</v>
      </c>
      <c r="NU39" s="703">
        <v>65.618519201195539</v>
      </c>
      <c r="NV39" s="704">
        <v>59.972227679459529</v>
      </c>
      <c r="NW39" s="704">
        <v>3.6734785392084501</v>
      </c>
      <c r="NX39" s="173">
        <v>21.725210619350591</v>
      </c>
      <c r="NY39" s="1137">
        <v>123.051226732343</v>
      </c>
      <c r="NZ39" s="1138">
        <v>49.385848543214699</v>
      </c>
      <c r="OA39" s="1138">
        <v>3.18543973028385</v>
      </c>
      <c r="OB39" s="1139">
        <v>19.1980709242928</v>
      </c>
      <c r="OC39" s="553"/>
      <c r="OD39" s="169" t="s">
        <v>561</v>
      </c>
      <c r="OE39" s="703">
        <v>90.851714608723597</v>
      </c>
      <c r="OF39" s="704">
        <v>123.918056228034</v>
      </c>
      <c r="OG39" s="704">
        <v>122.310431252024</v>
      </c>
      <c r="OH39" s="704">
        <v>81.212822788452499</v>
      </c>
      <c r="OI39" s="704">
        <v>130.967148090867</v>
      </c>
      <c r="OJ39" s="704">
        <v>12.5800418753205</v>
      </c>
      <c r="OK39" s="173">
        <v>21.061813803410399</v>
      </c>
      <c r="OL39" s="703">
        <v>114.21888343904401</v>
      </c>
      <c r="OM39" s="704">
        <v>128.16577863854499</v>
      </c>
      <c r="ON39" s="704">
        <v>122.310431252024</v>
      </c>
      <c r="OO39" s="704">
        <v>87.611138080883705</v>
      </c>
      <c r="OP39" s="704">
        <v>242.889113930897</v>
      </c>
      <c r="OQ39" s="704">
        <v>115.37405301021801</v>
      </c>
      <c r="OR39" s="173">
        <v>837.05027990856399</v>
      </c>
      <c r="OT39" s="169" t="s">
        <v>561</v>
      </c>
      <c r="OU39" s="172">
        <v>548.50215000000003</v>
      </c>
      <c r="OV39" s="337">
        <v>320.12300199999999</v>
      </c>
      <c r="OW39" s="337">
        <v>171.48296999999999</v>
      </c>
      <c r="OX39" s="173">
        <v>181.12761999999998</v>
      </c>
      <c r="OY39" s="703">
        <v>565.27069072767017</v>
      </c>
      <c r="OZ39" s="704">
        <v>269.01956634590226</v>
      </c>
      <c r="PA39" s="704">
        <v>146.56422682619277</v>
      </c>
      <c r="PB39" s="173">
        <v>181.69628315693893</v>
      </c>
      <c r="PC39" s="1137">
        <v>421.8435914223511</v>
      </c>
      <c r="PD39" s="1138">
        <v>285.87084981536401</v>
      </c>
      <c r="PE39" s="1138">
        <v>131.98333450786001</v>
      </c>
      <c r="PF39" s="1139">
        <v>197.40498262693652</v>
      </c>
      <c r="PH39" s="169" t="s">
        <v>561</v>
      </c>
      <c r="PI39" s="703">
        <v>178.29396153144131</v>
      </c>
      <c r="PJ39" s="704">
        <v>138.53942437982499</v>
      </c>
      <c r="PK39" s="704">
        <v>77.857392087788796</v>
      </c>
      <c r="PL39" s="173">
        <v>112.4499935491565</v>
      </c>
      <c r="PM39" s="703">
        <v>243.5496298909097</v>
      </c>
      <c r="PN39" s="704">
        <v>147.33142543554001</v>
      </c>
      <c r="PO39" s="704">
        <v>54.1259424200708</v>
      </c>
      <c r="PP39" s="173">
        <v>84.954989077779999</v>
      </c>
      <c r="PQ39" s="65"/>
      <c r="PR39" s="169" t="s">
        <v>561</v>
      </c>
      <c r="PS39" s="1038">
        <v>18.069710898869999</v>
      </c>
      <c r="PT39" s="1039">
        <v>42.164311100757899</v>
      </c>
      <c r="PU39" s="1039">
        <v>44.969741471084902</v>
      </c>
      <c r="PV39" s="1039">
        <v>25.724039350310701</v>
      </c>
      <c r="PW39" s="1039">
        <v>198.02723375794901</v>
      </c>
      <c r="PX39" s="1040">
        <v>149.26870666967599</v>
      </c>
      <c r="PZ39" s="169" t="s">
        <v>561</v>
      </c>
      <c r="QA39" s="1038">
        <v>340.21401691644002</v>
      </c>
      <c r="QB39" s="1039">
        <v>138.009726332208</v>
      </c>
      <c r="QC39" s="1039">
        <v>119.744327702837</v>
      </c>
      <c r="QD39" s="1039">
        <v>3.30901452448611</v>
      </c>
      <c r="QE39" s="1039">
        <v>14.9563841048847</v>
      </c>
      <c r="QF39" s="1040">
        <v>0</v>
      </c>
    </row>
    <row r="40" spans="1:448" ht="13.5" customHeight="1">
      <c r="A40" s="591" t="s">
        <v>505</v>
      </c>
      <c r="B40" s="167" t="s">
        <v>562</v>
      </c>
      <c r="C40" s="1103">
        <v>2052.6194209999999</v>
      </c>
      <c r="D40" s="690">
        <v>1936.6602376512235</v>
      </c>
      <c r="E40" s="691">
        <v>1952.7852308736201</v>
      </c>
      <c r="F40" s="428"/>
      <c r="G40" s="169" t="s">
        <v>562</v>
      </c>
      <c r="H40" s="577">
        <f t="shared" si="5"/>
        <v>-1.156298509957765E-2</v>
      </c>
      <c r="I40" s="668">
        <f t="shared" si="6"/>
        <v>1.6597187021756277E-3</v>
      </c>
      <c r="J40" s="612"/>
      <c r="K40" s="63"/>
      <c r="L40" s="167" t="s">
        <v>562</v>
      </c>
      <c r="M40" s="636">
        <v>25</v>
      </c>
      <c r="N40" s="637">
        <v>26</v>
      </c>
      <c r="O40" s="637">
        <v>24</v>
      </c>
      <c r="P40" s="637">
        <v>14</v>
      </c>
      <c r="Q40" s="637">
        <v>18</v>
      </c>
      <c r="R40" s="637">
        <v>21</v>
      </c>
      <c r="S40" s="637">
        <v>22</v>
      </c>
      <c r="T40" s="637">
        <v>18</v>
      </c>
      <c r="U40" s="1138">
        <v>17</v>
      </c>
      <c r="V40" s="1138">
        <v>7</v>
      </c>
      <c r="W40" s="1139">
        <v>13</v>
      </c>
      <c r="X40" s="169" t="s">
        <v>562</v>
      </c>
      <c r="Y40" s="666">
        <v>25.5</v>
      </c>
      <c r="Z40" s="667">
        <v>19</v>
      </c>
      <c r="AA40" s="667">
        <v>19.5</v>
      </c>
      <c r="AB40" s="667">
        <v>20</v>
      </c>
      <c r="AC40" s="667">
        <v>20</v>
      </c>
      <c r="AD40" s="668">
        <v>-0.25490196078431371</v>
      </c>
      <c r="AE40" s="668">
        <v>2.6315789473684209E-2</v>
      </c>
      <c r="AF40" s="668">
        <v>2.564102564102564E-2</v>
      </c>
      <c r="AG40" s="1213">
        <v>2.6315789473684209E-2</v>
      </c>
      <c r="AN40" s="169" t="s">
        <v>562</v>
      </c>
      <c r="AO40" s="636">
        <v>0</v>
      </c>
      <c r="AP40" s="637">
        <v>48.050955999999999</v>
      </c>
      <c r="AQ40" s="637">
        <v>78.315167000000002</v>
      </c>
      <c r="AR40" s="637">
        <v>255.12880000000001</v>
      </c>
      <c r="AS40" s="637">
        <v>358.61848199999997</v>
      </c>
      <c r="AT40" s="637">
        <v>280.18148000000002</v>
      </c>
      <c r="AU40" s="637">
        <v>434.29236400000002</v>
      </c>
      <c r="AV40" s="173">
        <v>265.76980400000002</v>
      </c>
      <c r="AW40" s="636">
        <v>0</v>
      </c>
      <c r="AX40" s="637">
        <v>33.260752646889415</v>
      </c>
      <c r="AY40" s="637">
        <v>123.95693155613196</v>
      </c>
      <c r="AZ40" s="637">
        <v>269.43469645140408</v>
      </c>
      <c r="BA40" s="637">
        <v>297.90329252285545</v>
      </c>
      <c r="BB40" s="637">
        <v>169.4501385993444</v>
      </c>
      <c r="BC40" s="637">
        <v>554.91268486741114</v>
      </c>
      <c r="BD40" s="173">
        <v>184.3524940020078</v>
      </c>
      <c r="BE40" s="1137">
        <v>0</v>
      </c>
      <c r="BF40" s="1138">
        <v>18.8467541447984</v>
      </c>
      <c r="BG40" s="1138">
        <v>131.67073654862301</v>
      </c>
      <c r="BH40" s="1138">
        <v>263.25718031092202</v>
      </c>
      <c r="BI40" s="1138">
        <v>192.66496587735099</v>
      </c>
      <c r="BJ40" s="1138">
        <v>232.62642354899</v>
      </c>
      <c r="BK40" s="1138">
        <v>520.14894913436899</v>
      </c>
      <c r="BL40" s="1139">
        <v>270.94855389331701</v>
      </c>
      <c r="BN40" s="169" t="s">
        <v>562</v>
      </c>
      <c r="BO40" s="647">
        <v>332.26236599999999</v>
      </c>
      <c r="BP40" s="648">
        <v>456.731537</v>
      </c>
      <c r="BQ40" s="648">
        <v>402.06264299999998</v>
      </c>
      <c r="BR40" s="648">
        <v>388.25366000000002</v>
      </c>
      <c r="BS40" s="648">
        <v>217.88597899999999</v>
      </c>
      <c r="BT40" s="173">
        <v>255.42323500000001</v>
      </c>
      <c r="BU40" s="647">
        <v>303.38924700517919</v>
      </c>
      <c r="BV40" s="648">
        <v>327.59236944740547</v>
      </c>
      <c r="BW40" s="648">
        <v>406.79325160450753</v>
      </c>
      <c r="BX40" s="648">
        <v>326.70182980847483</v>
      </c>
      <c r="BY40" s="648">
        <v>243.33672350771079</v>
      </c>
      <c r="BZ40" s="173">
        <v>328.84681627794555</v>
      </c>
      <c r="CA40" s="1137">
        <v>322.62166741525101</v>
      </c>
      <c r="CB40" s="1138">
        <v>322.77291918993802</v>
      </c>
      <c r="CC40" s="1138">
        <v>373.52747172781898</v>
      </c>
      <c r="CD40" s="1138">
        <v>371.96781653325201</v>
      </c>
      <c r="CE40" s="1138">
        <v>332.34879008718599</v>
      </c>
      <c r="CF40" s="1139">
        <v>229.546565920175</v>
      </c>
      <c r="CG40" s="429"/>
      <c r="CH40" s="169" t="s">
        <v>562</v>
      </c>
      <c r="CI40" s="172">
        <v>461.21577200000002</v>
      </c>
      <c r="CJ40" s="337">
        <v>1195.2085999999999</v>
      </c>
      <c r="CK40" s="337">
        <v>396.19504899999998</v>
      </c>
      <c r="CL40" s="647">
        <v>383.70248170031607</v>
      </c>
      <c r="CM40" s="648">
        <v>1081.7179819570315</v>
      </c>
      <c r="CN40" s="648">
        <v>471.2397739938757</v>
      </c>
      <c r="CO40" s="1137">
        <v>448.37747943522902</v>
      </c>
      <c r="CP40" s="1138">
        <v>1083.2883433504401</v>
      </c>
      <c r="CQ40" s="1139">
        <v>421.11940808795299</v>
      </c>
      <c r="CR40" s="429"/>
      <c r="CT40" s="1240">
        <f>INDEX('Aides traitements'!$E$4:$E$5,'Page de garde'!$G$4,1)</f>
        <v>2009</v>
      </c>
      <c r="CU40" s="1283"/>
      <c r="CV40" s="1283"/>
      <c r="CW40" s="1284"/>
      <c r="CX40" s="1286">
        <f>'Aides traitements'!$I$11</f>
        <v>2020</v>
      </c>
      <c r="CY40" s="1326"/>
      <c r="CZ40" s="1326"/>
      <c r="DA40" s="1287"/>
      <c r="DB40" s="426"/>
      <c r="DC40" s="426"/>
      <c r="DD40" s="426"/>
      <c r="DE40" s="426"/>
      <c r="DG40" s="169" t="s">
        <v>562</v>
      </c>
      <c r="DH40" s="1147" t="s">
        <v>754</v>
      </c>
      <c r="DI40" s="1150" t="s">
        <v>916</v>
      </c>
      <c r="DJ40" s="704" t="s">
        <v>917</v>
      </c>
      <c r="DK40" s="704" t="s">
        <v>918</v>
      </c>
      <c r="DL40" s="337" t="s">
        <v>919</v>
      </c>
      <c r="DM40" s="174" t="s">
        <v>864</v>
      </c>
      <c r="DO40" s="167" t="s">
        <v>562</v>
      </c>
      <c r="DP40" s="704">
        <v>1036.2119459999999</v>
      </c>
      <c r="DQ40" s="337">
        <v>1047.5354538163429</v>
      </c>
      <c r="DR40" s="1139">
        <v>1046.59036354606</v>
      </c>
      <c r="DS40" s="63"/>
      <c r="DT40" s="169" t="s">
        <v>562</v>
      </c>
      <c r="DU40" s="172">
        <v>2052.6194209999999</v>
      </c>
      <c r="DV40" s="337">
        <v>1935.6602384327359</v>
      </c>
      <c r="DW40" s="1139">
        <v>1952.7852308736201</v>
      </c>
      <c r="DX40" s="63"/>
      <c r="DY40" s="169" t="s">
        <v>562</v>
      </c>
      <c r="DZ40" s="1089">
        <f t="shared" si="0"/>
        <v>1.9808876252812473</v>
      </c>
      <c r="EA40" s="787">
        <f t="shared" si="1"/>
        <v>1.8478231274949304</v>
      </c>
      <c r="EB40" s="776">
        <f t="shared" si="2"/>
        <v>1.8658543962292835</v>
      </c>
      <c r="ED40" s="541"/>
      <c r="EE40" s="169" t="s">
        <v>562</v>
      </c>
      <c r="EF40" s="735">
        <v>449.11042500000002</v>
      </c>
      <c r="EG40" s="736">
        <v>48.785634000000002</v>
      </c>
      <c r="EH40" s="736">
        <v>243.59394699999999</v>
      </c>
      <c r="EI40" s="736">
        <v>195.56142</v>
      </c>
      <c r="EJ40" s="736">
        <v>99.160518999999994</v>
      </c>
      <c r="EK40" s="703">
        <v>497.27030743223565</v>
      </c>
      <c r="EL40" s="704">
        <v>22.712869709858261</v>
      </c>
      <c r="EM40" s="704">
        <v>243.7024489026864</v>
      </c>
      <c r="EN40" s="704">
        <v>166.58598274986991</v>
      </c>
      <c r="EO40" s="704">
        <v>117.26384502169255</v>
      </c>
      <c r="EP40" s="1137">
        <v>549.670027588484</v>
      </c>
      <c r="EQ40" s="1138">
        <v>33.868169666573202</v>
      </c>
      <c r="ER40" s="1138">
        <v>201.15922670486401</v>
      </c>
      <c r="ES40" s="1138">
        <v>168.56347540611901</v>
      </c>
      <c r="ET40" s="1139">
        <v>93.329464180015194</v>
      </c>
      <c r="EV40" s="169" t="s">
        <v>562</v>
      </c>
      <c r="EW40" s="703">
        <v>41.480575000000002</v>
      </c>
      <c r="EX40" s="704">
        <v>180.99794499999999</v>
      </c>
      <c r="EY40" s="704">
        <v>151.59334100000001</v>
      </c>
      <c r="EZ40" s="704">
        <v>75.038562999999996</v>
      </c>
      <c r="FA40" s="703">
        <v>315.254367</v>
      </c>
      <c r="FB40" s="704">
        <v>796.31645900000001</v>
      </c>
      <c r="FC40" s="704">
        <v>450.98715099999998</v>
      </c>
      <c r="FD40" s="704">
        <v>157.79907700000001</v>
      </c>
      <c r="FE40" s="703">
        <v>14.083906603033434</v>
      </c>
      <c r="FF40" s="704">
        <v>193.49382913440448</v>
      </c>
      <c r="FG40" s="704">
        <v>166.28088122627662</v>
      </c>
      <c r="FH40" s="173">
        <v>123.41169046852116</v>
      </c>
      <c r="FI40" s="703">
        <v>188.89029583959143</v>
      </c>
      <c r="FJ40" s="704">
        <v>731.35969290614867</v>
      </c>
      <c r="FK40" s="746">
        <v>465.2486732898376</v>
      </c>
      <c r="FL40" s="747">
        <v>246.77232939197916</v>
      </c>
      <c r="FM40" s="1137">
        <v>27.487654011299</v>
      </c>
      <c r="FN40" s="1138">
        <v>231.978956790795</v>
      </c>
      <c r="FO40" s="1138">
        <v>193.961196007561</v>
      </c>
      <c r="FP40" s="1139">
        <v>96.242220778829704</v>
      </c>
      <c r="FQ40" s="1137">
        <v>237.82887680302201</v>
      </c>
      <c r="FR40" s="1138">
        <v>709.53243323434901</v>
      </c>
      <c r="FS40" s="1138">
        <v>516.03255151630901</v>
      </c>
      <c r="FT40" s="1139">
        <v>166.769701904691</v>
      </c>
      <c r="FV40" s="167" t="s">
        <v>562</v>
      </c>
      <c r="FW40" s="337">
        <v>253.500867</v>
      </c>
      <c r="FX40" s="337">
        <v>142.87122500000001</v>
      </c>
      <c r="FY40" s="337">
        <v>85.114354000000006</v>
      </c>
      <c r="FZ40" s="173">
        <v>56.829439000000001</v>
      </c>
      <c r="GA40" s="703">
        <v>289.12209092689574</v>
      </c>
      <c r="GB40" s="704">
        <v>125.5207977425878</v>
      </c>
      <c r="GC40" s="704">
        <v>89.112250432081765</v>
      </c>
      <c r="GD40" s="173">
        <v>23.797137572683535</v>
      </c>
      <c r="GE40" s="1137">
        <v>234.63356373812101</v>
      </c>
      <c r="GF40" s="1138">
        <v>82.750177327500197</v>
      </c>
      <c r="GG40" s="1138">
        <v>93.877432949745995</v>
      </c>
      <c r="GH40" s="1139">
        <v>51.790992275630998</v>
      </c>
      <c r="GJ40" s="169" t="s">
        <v>562</v>
      </c>
      <c r="GK40" s="703">
        <v>1151.998736</v>
      </c>
      <c r="GL40" s="704">
        <v>1161.4991813370664</v>
      </c>
      <c r="GM40" s="1139">
        <v>1160.5010626911001</v>
      </c>
      <c r="GO40" s="169" t="s">
        <v>562</v>
      </c>
      <c r="GP40" s="703">
        <v>1036.2119459999999</v>
      </c>
      <c r="GQ40" s="704">
        <v>19.917645</v>
      </c>
      <c r="GR40" s="173">
        <v>95.869144000000006</v>
      </c>
      <c r="GS40" s="703">
        <v>1047.5354538163429</v>
      </c>
      <c r="GT40" s="704">
        <v>25.929109056979762</v>
      </c>
      <c r="GU40" s="173">
        <v>88.034618463743826</v>
      </c>
      <c r="GV40" s="1137">
        <v>1046.59036354606</v>
      </c>
      <c r="GW40" s="1138">
        <v>27.7756108832324</v>
      </c>
      <c r="GX40" s="1139">
        <v>86.135088261808704</v>
      </c>
      <c r="GZ40" s="169" t="s">
        <v>562</v>
      </c>
      <c r="HA40" s="172">
        <v>357.618291</v>
      </c>
      <c r="HB40" s="337">
        <v>789.61200299999996</v>
      </c>
      <c r="HC40" s="173">
        <f t="shared" si="7"/>
        <v>4.76844200000005</v>
      </c>
      <c r="HD40" s="703">
        <v>373.12818670813294</v>
      </c>
      <c r="HE40" s="704">
        <v>788.37099462893343</v>
      </c>
      <c r="HF40" s="173">
        <f t="shared" si="8"/>
        <v>0</v>
      </c>
      <c r="HG40" s="583">
        <v>440.86550303937003</v>
      </c>
      <c r="HH40" s="1138">
        <v>719.635559651726</v>
      </c>
      <c r="HI40" s="173">
        <f t="shared" si="9"/>
        <v>4.0927261579781771E-12</v>
      </c>
      <c r="HK40" s="169" t="s">
        <v>562</v>
      </c>
      <c r="HL40" s="704">
        <v>1036.2119459999999</v>
      </c>
      <c r="HM40" s="704">
        <v>3655.8562959999999</v>
      </c>
      <c r="HN40" s="776">
        <f t="shared" si="10"/>
        <v>3.5280970366269067</v>
      </c>
      <c r="HO40" s="703">
        <v>1047.5354538163429</v>
      </c>
      <c r="HP40" s="704">
        <v>3790.1800607749633</v>
      </c>
      <c r="HQ40" s="776">
        <f t="shared" si="11"/>
        <v>3.6181878589089447</v>
      </c>
      <c r="HR40" s="1138">
        <v>1046.59036354606</v>
      </c>
      <c r="HS40" s="1138">
        <v>3628.6875663845999</v>
      </c>
      <c r="HT40" s="784">
        <f t="shared" si="12"/>
        <v>3.4671517078466803</v>
      </c>
      <c r="HV40" s="169" t="s">
        <v>562</v>
      </c>
      <c r="HW40" s="172">
        <v>335.43938500000002</v>
      </c>
      <c r="HX40" s="337">
        <v>1442.8201200000001</v>
      </c>
      <c r="HY40" s="787">
        <f t="shared" si="13"/>
        <v>4.3012841798526429</v>
      </c>
      <c r="HZ40" s="704">
        <v>696.00411899999995</v>
      </c>
      <c r="IA40" s="704">
        <v>2204.7602529999999</v>
      </c>
      <c r="IB40" s="787">
        <f t="shared" si="14"/>
        <v>3.1677402371809817</v>
      </c>
      <c r="IC40" s="703">
        <v>343.95802915059267</v>
      </c>
      <c r="ID40" s="704">
        <v>1542.7002722881516</v>
      </c>
      <c r="IE40" s="787">
        <f t="shared" si="15"/>
        <v>4.4851410391490596</v>
      </c>
      <c r="IF40" s="704">
        <v>703.57742466575007</v>
      </c>
      <c r="IG40" s="704">
        <v>2247.4797884868121</v>
      </c>
      <c r="IH40" s="776">
        <f t="shared" si="16"/>
        <v>3.1943602931184536</v>
      </c>
      <c r="II40" s="1137">
        <v>415.82768681874802</v>
      </c>
      <c r="IJ40" s="1138">
        <v>1765.4853486878999</v>
      </c>
      <c r="IK40" s="1170">
        <f t="shared" si="17"/>
        <v>4.2457138008163557</v>
      </c>
      <c r="IL40" s="1138">
        <v>630.76267672730705</v>
      </c>
      <c r="IM40" s="1138">
        <v>1863.20221769669</v>
      </c>
      <c r="IN40" s="1171">
        <f t="shared" si="18"/>
        <v>2.9538878669293784</v>
      </c>
      <c r="IP40" s="169" t="s">
        <v>562</v>
      </c>
      <c r="IQ40" s="703">
        <v>66.633442000000002</v>
      </c>
      <c r="IR40" s="704">
        <v>95.104454000000004</v>
      </c>
      <c r="IS40" s="704">
        <v>332.896343</v>
      </c>
      <c r="IT40" s="704">
        <v>387.91924</v>
      </c>
      <c r="IU40" s="704">
        <v>153.658467</v>
      </c>
      <c r="IV40" s="704">
        <v>3655.8562959999999</v>
      </c>
      <c r="IW40" s="703">
        <v>45.948676938389333</v>
      </c>
      <c r="IX40" s="704">
        <v>124.3569181793536</v>
      </c>
      <c r="IY40" s="704">
        <v>339.8955021943554</v>
      </c>
      <c r="IZ40" s="704">
        <v>339.12341587476146</v>
      </c>
      <c r="JA40" s="704">
        <v>198.21094062948296</v>
      </c>
      <c r="JB40" s="173">
        <v>3790.1800607749633</v>
      </c>
      <c r="JC40" s="1137">
        <v>78.427377971930397</v>
      </c>
      <c r="JD40" s="1138">
        <v>184.932267698326</v>
      </c>
      <c r="JE40" s="1138">
        <v>282.05135410458797</v>
      </c>
      <c r="JF40" s="1138">
        <v>291.70928147262401</v>
      </c>
      <c r="JG40" s="1138">
        <v>209.47008229858801</v>
      </c>
      <c r="JH40" s="1139">
        <v>3628.6875663845999</v>
      </c>
      <c r="JJ40" s="169" t="s">
        <v>562</v>
      </c>
      <c r="JK40" s="172">
        <v>537.12253799999996</v>
      </c>
      <c r="JL40" s="337">
        <v>246.15991400000001</v>
      </c>
      <c r="JM40" s="337">
        <v>228.55588499999999</v>
      </c>
      <c r="JN40" s="173">
        <v>24.373608999999998</v>
      </c>
      <c r="JO40" s="703">
        <v>652.99090943827821</v>
      </c>
      <c r="JP40" s="704">
        <v>197.52604760175109</v>
      </c>
      <c r="JQ40" s="704">
        <v>190.44079170251388</v>
      </c>
      <c r="JR40" s="173">
        <v>6.5777050737996801</v>
      </c>
      <c r="JS40" s="1137">
        <v>526.216889570126</v>
      </c>
      <c r="JT40" s="1138">
        <v>164.545316715345</v>
      </c>
      <c r="JU40" s="1138">
        <v>348.26637249831498</v>
      </c>
      <c r="JV40" s="1139">
        <v>7.5617847622699399</v>
      </c>
      <c r="JX40" s="169" t="s">
        <v>562</v>
      </c>
      <c r="JY40" s="703">
        <v>119.391537354389</v>
      </c>
      <c r="JZ40" s="704">
        <v>223.021193227575</v>
      </c>
      <c r="KA40" s="704">
        <v>157.608870907312</v>
      </c>
      <c r="KB40" s="173">
        <v>546.56876205677895</v>
      </c>
      <c r="KC40" s="603"/>
      <c r="KD40" s="169" t="s">
        <v>562</v>
      </c>
      <c r="KE40" s="703">
        <v>3.4253793495256999</v>
      </c>
      <c r="KF40" s="704">
        <v>28.153669307257498</v>
      </c>
      <c r="KG40" s="704">
        <v>400.62896040133899</v>
      </c>
      <c r="KH40" s="704">
        <v>68.969236237723507</v>
      </c>
      <c r="KI40" s="704">
        <v>124.23255835417601</v>
      </c>
      <c r="KJ40" s="173">
        <v>5.3528730772861097</v>
      </c>
      <c r="KK40" s="703">
        <v>24.088002853780001</v>
      </c>
      <c r="KL40" s="704">
        <v>176.11713124895999</v>
      </c>
      <c r="KM40" s="704">
        <v>141.850910701435</v>
      </c>
      <c r="KN40" s="704">
        <v>47.667935355568403</v>
      </c>
      <c r="KO40" s="704">
        <v>6.9722451048286702</v>
      </c>
      <c r="KP40" s="173">
        <v>18.037101453818401</v>
      </c>
      <c r="KQ40" s="703">
        <v>27.513382203305699</v>
      </c>
      <c r="KR40" s="704">
        <v>204.27080055621701</v>
      </c>
      <c r="KS40" s="704">
        <v>542.47987110277404</v>
      </c>
      <c r="KT40" s="704">
        <v>116.637171593292</v>
      </c>
      <c r="KU40" s="704">
        <v>131.20480345900401</v>
      </c>
      <c r="KV40" s="173">
        <v>23.3899745311045</v>
      </c>
      <c r="KW40" s="429"/>
      <c r="KX40" s="169" t="s">
        <v>562</v>
      </c>
      <c r="KY40" s="172">
        <f t="shared" si="19"/>
        <v>269.30028399999992</v>
      </c>
      <c r="KZ40" s="337">
        <v>596.15763200000004</v>
      </c>
      <c r="LA40" s="173">
        <v>170.75403</v>
      </c>
      <c r="LB40" s="172">
        <f t="shared" si="3"/>
        <v>325.51290895809984</v>
      </c>
      <c r="LC40" s="704">
        <v>552.12360434732</v>
      </c>
      <c r="LD40" s="173">
        <v>169.89894051092296</v>
      </c>
      <c r="LE40" s="172">
        <f t="shared" si="4"/>
        <v>374.42400307060586</v>
      </c>
      <c r="LF40" s="1138">
        <v>527.63078909794206</v>
      </c>
      <c r="LG40" s="1139">
        <v>144.53557137751201</v>
      </c>
      <c r="LH40" s="426"/>
      <c r="LI40" s="169" t="s">
        <v>562</v>
      </c>
      <c r="LJ40" s="703">
        <v>974.453442</v>
      </c>
      <c r="LK40" s="704">
        <v>835.97087999999997</v>
      </c>
      <c r="LL40" s="704">
        <v>138.482561</v>
      </c>
      <c r="LM40" s="704">
        <v>173.45445599999999</v>
      </c>
      <c r="LN40" s="704">
        <v>95.961219999999997</v>
      </c>
      <c r="LO40" s="173">
        <v>80.292888000000005</v>
      </c>
      <c r="LP40" s="703">
        <v>900.56583057734213</v>
      </c>
      <c r="LQ40" s="704">
        <v>783.12255834757082</v>
      </c>
      <c r="LR40" s="704">
        <v>117.44327222977137</v>
      </c>
      <c r="LS40" s="704">
        <v>80.248104570099002</v>
      </c>
      <c r="LT40" s="704">
        <v>96.534423317693594</v>
      </c>
      <c r="LU40" s="173">
        <v>84.682858187033716</v>
      </c>
      <c r="LV40" s="1137">
        <v>850.23250693220098</v>
      </c>
      <c r="LW40" s="1138">
        <v>734.37571637601002</v>
      </c>
      <c r="LX40" s="1138">
        <v>115.856790556191</v>
      </c>
      <c r="LY40" s="1138">
        <v>126.36131504874599</v>
      </c>
      <c r="LZ40" s="1138">
        <v>121.714895333226</v>
      </c>
      <c r="MA40" s="1139">
        <v>110.735438056245</v>
      </c>
      <c r="MC40" s="169" t="s">
        <v>562</v>
      </c>
      <c r="MD40" s="703">
        <v>0</v>
      </c>
      <c r="ME40" s="704">
        <v>41.144682000000003</v>
      </c>
      <c r="MF40" s="704">
        <v>77.438297000000006</v>
      </c>
      <c r="MG40" s="704">
        <v>232.812397</v>
      </c>
      <c r="MH40" s="704">
        <v>276.69328999999999</v>
      </c>
      <c r="MI40" s="173">
        <v>207.882214</v>
      </c>
      <c r="MJ40" s="703">
        <v>0</v>
      </c>
      <c r="MK40" s="704">
        <v>33.260752646889415</v>
      </c>
      <c r="ML40" s="704">
        <v>110.82915577662642</v>
      </c>
      <c r="MM40" s="704">
        <v>230.40718935298923</v>
      </c>
      <c r="MN40" s="704">
        <v>255.54025185762123</v>
      </c>
      <c r="MO40" s="173">
        <v>153.0852087134445</v>
      </c>
      <c r="MP40" s="1137">
        <v>0</v>
      </c>
      <c r="MQ40" s="1138">
        <v>15.1331194829263</v>
      </c>
      <c r="MR40" s="1138">
        <v>124.630480938334</v>
      </c>
      <c r="MS40" s="1138">
        <v>236.869947598295</v>
      </c>
      <c r="MT40" s="1138">
        <v>155.36067757887699</v>
      </c>
      <c r="MU40" s="1139">
        <v>202.38149077757799</v>
      </c>
      <c r="MW40" s="169" t="s">
        <v>562</v>
      </c>
      <c r="MX40" s="172">
        <v>881.790032</v>
      </c>
      <c r="MY40" s="337">
        <v>828.72695499999998</v>
      </c>
      <c r="MZ40" s="337">
        <v>53.063077</v>
      </c>
      <c r="NA40" s="703">
        <v>789.55331456964984</v>
      </c>
      <c r="NB40" s="704">
        <v>699.18935106201093</v>
      </c>
      <c r="NC40" s="173">
        <v>90.363963507638999</v>
      </c>
      <c r="ND40" s="1137">
        <v>738.07980107949504</v>
      </c>
      <c r="NE40" s="1138">
        <v>681.46382371739003</v>
      </c>
      <c r="NF40" s="1139">
        <v>56.6159773621049</v>
      </c>
      <c r="NH40" s="169" t="s">
        <v>562</v>
      </c>
      <c r="NI40" s="703">
        <v>572.92310630076679</v>
      </c>
      <c r="NJ40" s="173">
        <v>126.26624476124404</v>
      </c>
      <c r="NK40" s="703">
        <v>70.102808439216162</v>
      </c>
      <c r="NL40" s="704">
        <v>17.011245383370795</v>
      </c>
      <c r="NM40" s="173">
        <v>3.2499096850520401</v>
      </c>
      <c r="NN40" s="1137">
        <v>535.34716042039997</v>
      </c>
      <c r="NO40" s="1139">
        <v>146.11666329699068</v>
      </c>
      <c r="NP40" s="1137">
        <v>47.961662650398203</v>
      </c>
      <c r="NQ40" s="1138">
        <v>8.6543147117067001</v>
      </c>
      <c r="NR40" s="1139">
        <v>0</v>
      </c>
      <c r="NS40" s="136"/>
      <c r="NT40" s="169" t="s">
        <v>562</v>
      </c>
      <c r="NU40" s="703">
        <v>85.903682820800128</v>
      </c>
      <c r="NV40" s="704">
        <v>17.302335603165346</v>
      </c>
      <c r="NW40" s="704">
        <v>9.9026929789006903</v>
      </c>
      <c r="NX40" s="173">
        <v>13.15753335837787</v>
      </c>
      <c r="NY40" s="1137">
        <v>86.578483264264307</v>
      </c>
      <c r="NZ40" s="1138">
        <v>14.9894304067475</v>
      </c>
      <c r="OA40" s="1138">
        <v>3.8420838220040698</v>
      </c>
      <c r="OB40" s="1139">
        <v>40.706665803974801</v>
      </c>
      <c r="OC40" s="553"/>
      <c r="OD40" s="169" t="s">
        <v>562</v>
      </c>
      <c r="OE40" s="703">
        <v>47.466598735570699</v>
      </c>
      <c r="OF40" s="704">
        <v>130.25815038460701</v>
      </c>
      <c r="OG40" s="704">
        <v>95.364483129394898</v>
      </c>
      <c r="OH40" s="704">
        <v>72.135254847545596</v>
      </c>
      <c r="OI40" s="704">
        <v>94.674583711904305</v>
      </c>
      <c r="OJ40" s="704">
        <v>18.229137268446198</v>
      </c>
      <c r="OK40" s="173">
        <v>7.7154001175685503</v>
      </c>
      <c r="OL40" s="703">
        <v>71.186100930015797</v>
      </c>
      <c r="OM40" s="704">
        <v>134.11585044339199</v>
      </c>
      <c r="ON40" s="704">
        <v>95.364483129394898</v>
      </c>
      <c r="OO40" s="704">
        <v>75.864882066931301</v>
      </c>
      <c r="OP40" s="704">
        <v>161.963994736091</v>
      </c>
      <c r="OQ40" s="704">
        <v>84.944042386916294</v>
      </c>
      <c r="OR40" s="173">
        <v>1307.3906442684299</v>
      </c>
      <c r="OT40" s="169" t="s">
        <v>562</v>
      </c>
      <c r="OU40" s="172">
        <v>537.33436800000004</v>
      </c>
      <c r="OV40" s="337">
        <v>437.190246</v>
      </c>
      <c r="OW40" s="337">
        <v>198.80302699999999</v>
      </c>
      <c r="OX40" s="173">
        <v>314.63396599999999</v>
      </c>
      <c r="OY40" s="703">
        <v>498.44859880539713</v>
      </c>
      <c r="OZ40" s="704">
        <v>343.93274497207017</v>
      </c>
      <c r="PA40" s="704">
        <v>207.11524768102876</v>
      </c>
      <c r="PB40" s="173">
        <v>454.42155686473842</v>
      </c>
      <c r="PC40" s="1137">
        <v>370.12084405876521</v>
      </c>
      <c r="PD40" s="1138">
        <v>395.48820009076002</v>
      </c>
      <c r="PE40" s="1138">
        <v>168.793438061155</v>
      </c>
      <c r="PF40" s="1139">
        <v>503.00670530222601</v>
      </c>
      <c r="PH40" s="169" t="s">
        <v>562</v>
      </c>
      <c r="PI40" s="703">
        <v>145.38865956033328</v>
      </c>
      <c r="PJ40" s="704">
        <v>201.62745861284299</v>
      </c>
      <c r="PK40" s="704">
        <v>75.323632310719105</v>
      </c>
      <c r="PL40" s="173">
        <v>241.43676887948948</v>
      </c>
      <c r="PM40" s="703">
        <v>224.73218449843088</v>
      </c>
      <c r="PN40" s="704">
        <v>193.860741477918</v>
      </c>
      <c r="PO40" s="704">
        <v>93.469805750436294</v>
      </c>
      <c r="PP40" s="173">
        <v>261.56993642273591</v>
      </c>
      <c r="PQ40" s="65"/>
      <c r="PR40" s="169" t="s">
        <v>562</v>
      </c>
      <c r="PS40" s="1038">
        <v>24.747531124279401</v>
      </c>
      <c r="PT40" s="1039">
        <v>85.891580092418096</v>
      </c>
      <c r="PU40" s="1039">
        <v>40.6546336141664</v>
      </c>
      <c r="PV40" s="1039">
        <v>11.7388711832668</v>
      </c>
      <c r="PW40" s="1039">
        <v>403.27726276460402</v>
      </c>
      <c r="PX40" s="1040">
        <v>171.76992230076101</v>
      </c>
      <c r="PZ40" s="169" t="s">
        <v>562</v>
      </c>
      <c r="QA40" s="1038">
        <v>440.47650033918598</v>
      </c>
      <c r="QB40" s="1039">
        <v>297.60330074030901</v>
      </c>
      <c r="QC40" s="1039">
        <v>228.73757019824001</v>
      </c>
      <c r="QD40" s="1039">
        <v>16.041309047213499</v>
      </c>
      <c r="QE40" s="1039">
        <v>52.824421494855301</v>
      </c>
      <c r="QF40" s="1040">
        <v>0</v>
      </c>
    </row>
    <row r="41" spans="1:448" ht="13.5" customHeight="1">
      <c r="A41" s="591" t="s">
        <v>506</v>
      </c>
      <c r="B41" s="167" t="s">
        <v>563</v>
      </c>
      <c r="C41" s="1103">
        <v>1871.73369</v>
      </c>
      <c r="D41" s="690">
        <v>2126.8235852526577</v>
      </c>
      <c r="E41" s="691">
        <v>2169.38931730801</v>
      </c>
      <c r="F41" s="428"/>
      <c r="G41" s="169" t="s">
        <v>563</v>
      </c>
      <c r="H41" s="577">
        <f t="shared" si="5"/>
        <v>2.5882170681341687E-2</v>
      </c>
      <c r="I41" s="668">
        <f t="shared" si="6"/>
        <v>3.9710869969382667E-3</v>
      </c>
      <c r="J41" s="612"/>
      <c r="K41" s="63"/>
      <c r="L41" s="167" t="s">
        <v>563</v>
      </c>
      <c r="M41" s="636">
        <v>34</v>
      </c>
      <c r="N41" s="637">
        <v>30</v>
      </c>
      <c r="O41" s="637">
        <v>27</v>
      </c>
      <c r="P41" s="637">
        <v>25</v>
      </c>
      <c r="Q41" s="637">
        <v>29</v>
      </c>
      <c r="R41" s="637">
        <v>37</v>
      </c>
      <c r="S41" s="637">
        <v>33</v>
      </c>
      <c r="T41" s="637">
        <v>31</v>
      </c>
      <c r="U41" s="1138">
        <v>39</v>
      </c>
      <c r="V41" s="1138">
        <v>27</v>
      </c>
      <c r="W41" s="1139">
        <v>24</v>
      </c>
      <c r="X41" s="169" t="s">
        <v>563</v>
      </c>
      <c r="Y41" s="666">
        <v>32</v>
      </c>
      <c r="Z41" s="667">
        <v>26</v>
      </c>
      <c r="AA41" s="667">
        <v>33</v>
      </c>
      <c r="AB41" s="667">
        <v>32</v>
      </c>
      <c r="AC41" s="667">
        <v>32</v>
      </c>
      <c r="AD41" s="668">
        <v>-0.1875</v>
      </c>
      <c r="AE41" s="668">
        <v>0.26923076923076922</v>
      </c>
      <c r="AF41" s="668">
        <v>-3.0303030303030304E-2</v>
      </c>
      <c r="AG41" s="1213">
        <v>0.26923076923076922</v>
      </c>
      <c r="AN41" s="169" t="s">
        <v>563</v>
      </c>
      <c r="AO41" s="636">
        <v>0</v>
      </c>
      <c r="AP41" s="637">
        <v>23.694927</v>
      </c>
      <c r="AQ41" s="637">
        <v>56.486697999999997</v>
      </c>
      <c r="AR41" s="637">
        <v>173.94501399999999</v>
      </c>
      <c r="AS41" s="637">
        <v>373.46227499999998</v>
      </c>
      <c r="AT41" s="637">
        <v>235.90940800000001</v>
      </c>
      <c r="AU41" s="637">
        <v>515.75765799999999</v>
      </c>
      <c r="AV41" s="173">
        <v>185.215846</v>
      </c>
      <c r="AW41" s="636">
        <v>0</v>
      </c>
      <c r="AX41" s="637">
        <v>35.120960049852201</v>
      </c>
      <c r="AY41" s="637">
        <v>102.33480329349018</v>
      </c>
      <c r="AZ41" s="637">
        <v>194.36886778065244</v>
      </c>
      <c r="BA41" s="637">
        <v>329.41112672207402</v>
      </c>
      <c r="BB41" s="637">
        <v>264.30633948217309</v>
      </c>
      <c r="BC41" s="637">
        <v>497.76794153660478</v>
      </c>
      <c r="BD41" s="173">
        <v>318.62024868726422</v>
      </c>
      <c r="BE41" s="1137">
        <v>0</v>
      </c>
      <c r="BF41" s="1138">
        <v>19.040567428636599</v>
      </c>
      <c r="BG41" s="1138">
        <v>161.383105288152</v>
      </c>
      <c r="BH41" s="1138">
        <v>307.796870112134</v>
      </c>
      <c r="BI41" s="1138">
        <v>383.56152349378101</v>
      </c>
      <c r="BJ41" s="1138">
        <v>205.16666634792699</v>
      </c>
      <c r="BK41" s="1138">
        <v>421.161903359044</v>
      </c>
      <c r="BL41" s="1139">
        <v>352.72855578245498</v>
      </c>
      <c r="BN41" s="169" t="s">
        <v>563</v>
      </c>
      <c r="BO41" s="647">
        <v>307.26186300000001</v>
      </c>
      <c r="BP41" s="648">
        <v>287.50663900000001</v>
      </c>
      <c r="BQ41" s="648">
        <v>355.51197000000002</v>
      </c>
      <c r="BR41" s="648">
        <v>385.83596299999999</v>
      </c>
      <c r="BS41" s="648">
        <v>283.14778200000001</v>
      </c>
      <c r="BT41" s="173">
        <v>252.46947399999999</v>
      </c>
      <c r="BU41" s="647">
        <v>384.8932977005469</v>
      </c>
      <c r="BV41" s="648">
        <v>453.23925963135588</v>
      </c>
      <c r="BW41" s="648">
        <v>418.50213106193229</v>
      </c>
      <c r="BX41" s="648">
        <v>327.77680532265538</v>
      </c>
      <c r="BY41" s="648">
        <v>272.2379685626571</v>
      </c>
      <c r="BZ41" s="173">
        <v>270.17412297351029</v>
      </c>
      <c r="CA41" s="1137">
        <v>318.55012549588002</v>
      </c>
      <c r="CB41" s="1138">
        <v>570.81697843169104</v>
      </c>
      <c r="CC41" s="1138">
        <v>420.43752804294201</v>
      </c>
      <c r="CD41" s="1138">
        <v>394.163624188298</v>
      </c>
      <c r="CE41" s="1138">
        <v>291.96213918664</v>
      </c>
      <c r="CF41" s="1139">
        <v>173.458921962559</v>
      </c>
      <c r="CG41" s="429"/>
      <c r="CH41" s="169" t="s">
        <v>563</v>
      </c>
      <c r="CI41" s="172">
        <v>405.33254499999998</v>
      </c>
      <c r="CJ41" s="337">
        <v>1042.342416</v>
      </c>
      <c r="CK41" s="337">
        <v>424.05873000000003</v>
      </c>
      <c r="CL41" s="647">
        <v>519.87443183622293</v>
      </c>
      <c r="CM41" s="648">
        <v>1165.8049370565575</v>
      </c>
      <c r="CN41" s="648">
        <v>441.14421635987742</v>
      </c>
      <c r="CO41" s="1137">
        <v>476.40322441295098</v>
      </c>
      <c r="CP41" s="1138">
        <v>1343.28955747591</v>
      </c>
      <c r="CQ41" s="1139">
        <v>349.69653541914403</v>
      </c>
      <c r="CR41" s="429"/>
      <c r="CT41" s="1267" t="str">
        <f>INDEX('Aides traitements'!$A$5:$A$58,'Page de garde'!$C$4,1)</f>
        <v>Paul Bert</v>
      </c>
      <c r="CU41" s="1268"/>
      <c r="CV41" s="1267" t="str">
        <f>VLOOKUP($CX$7,'Aides traitements'!$A$5:$B$58,2,FALSE)</f>
        <v>Tours nord</v>
      </c>
      <c r="CW41" s="1268"/>
      <c r="CX41" s="1286" t="str">
        <f>INDEX('Aides traitements'!$A$5:$A$58,'Page de garde'!$C$4,1)</f>
        <v>Paul Bert</v>
      </c>
      <c r="CY41" s="1287"/>
      <c r="CZ41" s="1286" t="str">
        <f>VLOOKUP($CX$7,'Aides traitements'!$A$5:$B$58,2,FALSE)</f>
        <v>Tours nord</v>
      </c>
      <c r="DA41" s="1287"/>
      <c r="DB41" s="426"/>
      <c r="DC41" s="426"/>
      <c r="DD41" s="426"/>
      <c r="DE41" s="426"/>
      <c r="DG41" s="169" t="s">
        <v>563</v>
      </c>
      <c r="DH41" s="1147" t="s">
        <v>755</v>
      </c>
      <c r="DI41" s="1150" t="s">
        <v>920</v>
      </c>
      <c r="DJ41" s="704" t="s">
        <v>921</v>
      </c>
      <c r="DK41" s="704" t="s">
        <v>922</v>
      </c>
      <c r="DL41" s="337" t="s">
        <v>923</v>
      </c>
      <c r="DM41" s="174" t="s">
        <v>864</v>
      </c>
      <c r="DO41" s="167" t="s">
        <v>563</v>
      </c>
      <c r="DP41" s="704">
        <v>974.45147899999995</v>
      </c>
      <c r="DQ41" s="337">
        <v>1081.3320920480248</v>
      </c>
      <c r="DR41" s="1139">
        <v>1158.44359256795</v>
      </c>
      <c r="DS41" s="63"/>
      <c r="DT41" s="169" t="s">
        <v>563</v>
      </c>
      <c r="DU41" s="172">
        <v>1871.73369</v>
      </c>
      <c r="DV41" s="337">
        <v>2126.8235852526577</v>
      </c>
      <c r="DW41" s="1139">
        <v>2169.38931730801</v>
      </c>
      <c r="DX41" s="63"/>
      <c r="DY41" s="169" t="s">
        <v>563</v>
      </c>
      <c r="DZ41" s="1089">
        <f t="shared" ref="DZ41:DZ72" si="32">VLOOKUP($B41,$DT$9:$DW$91,2,FALSE)/VLOOKUP($B41,$DO$9:$DR$91,2,FALSE)</f>
        <v>1.9208074802460227</v>
      </c>
      <c r="EA41" s="787">
        <f t="shared" ref="EA41:EA72" si="33">VLOOKUP($B41,$DT$9:$DW$91,3,FALSE)/VLOOKUP($B41,$DO$9:$DR$91,3,FALSE)</f>
        <v>1.9668551418135474</v>
      </c>
      <c r="EB41" s="776">
        <f t="shared" ref="EB41:EB72" si="34">VLOOKUP($B41,$DT$9:$DW$91,4,FALSE)/VLOOKUP($B41,$DO$9:$DR$91,4,FALSE)</f>
        <v>1.8726758309388827</v>
      </c>
      <c r="ED41" s="541"/>
      <c r="EE41" s="169" t="s">
        <v>563</v>
      </c>
      <c r="EF41" s="735">
        <v>466.35581200000001</v>
      </c>
      <c r="EG41" s="736">
        <v>27.975009</v>
      </c>
      <c r="EH41" s="736">
        <v>211.61427699999999</v>
      </c>
      <c r="EI41" s="736">
        <v>184.51935900000001</v>
      </c>
      <c r="EJ41" s="736">
        <v>83.987020999999999</v>
      </c>
      <c r="EK41" s="703">
        <v>466.17375951076883</v>
      </c>
      <c r="EL41" s="704">
        <v>33.380585826032529</v>
      </c>
      <c r="EM41" s="704">
        <v>250.98082757146079</v>
      </c>
      <c r="EN41" s="704">
        <v>177.54316531513311</v>
      </c>
      <c r="EO41" s="704">
        <v>153.25375382462948</v>
      </c>
      <c r="EP41" s="1137">
        <v>601.53144538339097</v>
      </c>
      <c r="EQ41" s="1138">
        <v>44.021646909005902</v>
      </c>
      <c r="ER41" s="1138">
        <v>231.58586552966</v>
      </c>
      <c r="ES41" s="1138">
        <v>180.200372134986</v>
      </c>
      <c r="ET41" s="1139">
        <v>101.10426261090601</v>
      </c>
      <c r="EV41" s="169" t="s">
        <v>563</v>
      </c>
      <c r="EW41" s="703">
        <v>37.597403999999997</v>
      </c>
      <c r="EX41" s="704">
        <v>166.614554</v>
      </c>
      <c r="EY41" s="704">
        <v>176.421783</v>
      </c>
      <c r="EZ41" s="704">
        <v>85.722071</v>
      </c>
      <c r="FA41" s="703">
        <v>196.813197</v>
      </c>
      <c r="FB41" s="704">
        <v>711.83633999999995</v>
      </c>
      <c r="FC41" s="704">
        <v>506.67950500000001</v>
      </c>
      <c r="FD41" s="704">
        <v>149.142785</v>
      </c>
      <c r="FE41" s="703">
        <v>74.730062994375956</v>
      </c>
      <c r="FF41" s="704">
        <v>167.96475069095806</v>
      </c>
      <c r="FG41" s="704">
        <v>129.82872140915737</v>
      </c>
      <c r="FH41" s="173">
        <v>93.650224416277439</v>
      </c>
      <c r="FI41" s="703">
        <v>304.76559316801854</v>
      </c>
      <c r="FJ41" s="704">
        <v>779.07063105190639</v>
      </c>
      <c r="FK41" s="746">
        <v>484.17110985624265</v>
      </c>
      <c r="FL41" s="747">
        <v>173.92295347594327</v>
      </c>
      <c r="FM41" s="1137">
        <v>80.368402530979196</v>
      </c>
      <c r="FN41" s="1138">
        <v>305.49842449774502</v>
      </c>
      <c r="FO41" s="1138">
        <v>172.42268522666299</v>
      </c>
      <c r="FP41" s="1139">
        <v>43.241933128003502</v>
      </c>
      <c r="FQ41" s="1137">
        <v>378.21980981811402</v>
      </c>
      <c r="FR41" s="1138">
        <v>897.059829436472</v>
      </c>
      <c r="FS41" s="1138">
        <v>474.146574852794</v>
      </c>
      <c r="FT41" s="1139">
        <v>101.41297770475001</v>
      </c>
      <c r="FV41" s="167" t="s">
        <v>563</v>
      </c>
      <c r="FW41" s="337">
        <v>242.03547800000001</v>
      </c>
      <c r="FX41" s="337">
        <v>95.736508000000001</v>
      </c>
      <c r="FY41" s="337">
        <v>104.469522</v>
      </c>
      <c r="FZ41" s="173">
        <v>37.879150000000003</v>
      </c>
      <c r="GA41" s="703">
        <v>288.61473613887932</v>
      </c>
      <c r="GB41" s="704">
        <v>134.07473483217973</v>
      </c>
      <c r="GC41" s="704">
        <v>109.90680493048301</v>
      </c>
      <c r="GD41" s="173">
        <v>49.181470809681343</v>
      </c>
      <c r="GE41" s="1137">
        <v>254.970368687681</v>
      </c>
      <c r="GF41" s="1138">
        <v>109.384938726019</v>
      </c>
      <c r="GG41" s="1138">
        <v>110.315495751664</v>
      </c>
      <c r="GH41" s="1139">
        <v>42.381807622710397</v>
      </c>
      <c r="GJ41" s="169" t="s">
        <v>563</v>
      </c>
      <c r="GK41" s="703">
        <v>1053.4988109999999</v>
      </c>
      <c r="GL41" s="704">
        <v>1249.9175340236052</v>
      </c>
      <c r="GM41" s="1139">
        <v>1430.57455510466</v>
      </c>
      <c r="GO41" s="169" t="s">
        <v>563</v>
      </c>
      <c r="GP41" s="703">
        <v>974.45147899999995</v>
      </c>
      <c r="GQ41" s="704">
        <v>3.4991500000000002</v>
      </c>
      <c r="GR41" s="173">
        <v>75.548181999999997</v>
      </c>
      <c r="GS41" s="703">
        <v>1081.3320920480248</v>
      </c>
      <c r="GT41" s="704">
        <v>80.683467668303095</v>
      </c>
      <c r="GU41" s="173">
        <v>87.901974307277342</v>
      </c>
      <c r="GV41" s="1137">
        <v>1158.44359256795</v>
      </c>
      <c r="GW41" s="1138">
        <v>148.17593403038899</v>
      </c>
      <c r="GX41" s="1139">
        <v>123.955028506327</v>
      </c>
      <c r="GZ41" s="169" t="s">
        <v>563</v>
      </c>
      <c r="HA41" s="172">
        <v>550.88459499999999</v>
      </c>
      <c r="HB41" s="337">
        <v>495.04067600000002</v>
      </c>
      <c r="HC41" s="173">
        <f t="shared" si="7"/>
        <v>7.5735399999998663</v>
      </c>
      <c r="HD41" s="703">
        <v>477.30296062586615</v>
      </c>
      <c r="HE41" s="704">
        <v>768.14261693112417</v>
      </c>
      <c r="HF41" s="173">
        <f t="shared" si="8"/>
        <v>4.4719564666147562</v>
      </c>
      <c r="HG41" s="583">
        <v>474.51691668929601</v>
      </c>
      <c r="HH41" s="1138">
        <v>956.05763841536805</v>
      </c>
      <c r="HI41" s="173">
        <f t="shared" si="9"/>
        <v>-4.0927261579781771E-12</v>
      </c>
      <c r="HK41" s="169" t="s">
        <v>563</v>
      </c>
      <c r="HL41" s="704">
        <v>974.45147899999995</v>
      </c>
      <c r="HM41" s="704">
        <v>3478.6654899999999</v>
      </c>
      <c r="HN41" s="776">
        <f t="shared" si="10"/>
        <v>3.5698703988523577</v>
      </c>
      <c r="HO41" s="703">
        <v>1081.3320920480248</v>
      </c>
      <c r="HP41" s="704">
        <v>3697.4117782352009</v>
      </c>
      <c r="HQ41" s="776">
        <f t="shared" si="11"/>
        <v>3.4193119814213273</v>
      </c>
      <c r="HR41" s="1138">
        <v>1158.44359256795</v>
      </c>
      <c r="HS41" s="1138">
        <v>3605.0282668470099</v>
      </c>
      <c r="HT41" s="784">
        <f t="shared" si="12"/>
        <v>3.1119583982985795</v>
      </c>
      <c r="HV41" s="169" t="s">
        <v>563</v>
      </c>
      <c r="HW41" s="172">
        <v>509.85485899999998</v>
      </c>
      <c r="HX41" s="337">
        <v>2063.0785609999998</v>
      </c>
      <c r="HY41" s="787">
        <f t="shared" si="13"/>
        <v>4.0464036471995257</v>
      </c>
      <c r="HZ41" s="704">
        <v>457.02307999999999</v>
      </c>
      <c r="IA41" s="704">
        <v>1396.759219</v>
      </c>
      <c r="IB41" s="787">
        <f t="shared" si="14"/>
        <v>3.0562115571931292</v>
      </c>
      <c r="IC41" s="703">
        <v>429.26607793690221</v>
      </c>
      <c r="ID41" s="704">
        <v>1752.8251966529976</v>
      </c>
      <c r="IE41" s="787">
        <f t="shared" si="15"/>
        <v>4.0833070366921591</v>
      </c>
      <c r="IF41" s="704">
        <v>647.59405764450776</v>
      </c>
      <c r="IG41" s="704">
        <v>1932.1934516730853</v>
      </c>
      <c r="IH41" s="776">
        <f t="shared" si="16"/>
        <v>2.9836491377037149</v>
      </c>
      <c r="II41" s="1137">
        <v>419.27054853343901</v>
      </c>
      <c r="IJ41" s="1138">
        <v>1696.7838140986501</v>
      </c>
      <c r="IK41" s="1170">
        <f t="shared" si="17"/>
        <v>4.0469902310901826</v>
      </c>
      <c r="IL41" s="1138">
        <v>739.17304403450896</v>
      </c>
      <c r="IM41" s="1138">
        <v>1908.2444527483599</v>
      </c>
      <c r="IN41" s="1171">
        <f t="shared" si="18"/>
        <v>2.5815936716697583</v>
      </c>
      <c r="IP41" s="169" t="s">
        <v>563</v>
      </c>
      <c r="IQ41" s="703">
        <v>37.636076000000003</v>
      </c>
      <c r="IR41" s="704">
        <v>136.40525</v>
      </c>
      <c r="IS41" s="704">
        <v>332.07278600000001</v>
      </c>
      <c r="IT41" s="704">
        <v>280.90219999999999</v>
      </c>
      <c r="IU41" s="704">
        <v>187.43516600000001</v>
      </c>
      <c r="IV41" s="704">
        <v>3478.6654899999999</v>
      </c>
      <c r="IW41" s="703">
        <v>80.437539071845137</v>
      </c>
      <c r="IX41" s="704">
        <v>162.89994439734735</v>
      </c>
      <c r="IY41" s="704">
        <v>360.0758064836408</v>
      </c>
      <c r="IZ41" s="704">
        <v>266.92466196582473</v>
      </c>
      <c r="JA41" s="704">
        <v>210.99414012936671</v>
      </c>
      <c r="JB41" s="173">
        <v>3697.4117782352009</v>
      </c>
      <c r="JC41" s="1137">
        <v>78.053941268023493</v>
      </c>
      <c r="JD41" s="1138">
        <v>317.786251982262</v>
      </c>
      <c r="JE41" s="1138">
        <v>376.850523408877</v>
      </c>
      <c r="JF41" s="1138">
        <v>224.28012811192201</v>
      </c>
      <c r="JG41" s="1138">
        <v>161.47274779686299</v>
      </c>
      <c r="JH41" s="1139">
        <v>3605.0282668470099</v>
      </c>
      <c r="JJ41" s="169" t="s">
        <v>563</v>
      </c>
      <c r="JK41" s="172">
        <v>388.89851499999997</v>
      </c>
      <c r="JL41" s="337">
        <v>186.16009600000001</v>
      </c>
      <c r="JM41" s="337">
        <v>395.51929699999999</v>
      </c>
      <c r="JN41" s="173">
        <v>3.8735710000000001</v>
      </c>
      <c r="JO41" s="703">
        <v>334.74720446717481</v>
      </c>
      <c r="JP41" s="704">
        <v>248.29196547488135</v>
      </c>
      <c r="JQ41" s="704">
        <v>478.17474015283591</v>
      </c>
      <c r="JR41" s="173">
        <v>20.118181953132758</v>
      </c>
      <c r="JS41" s="1137">
        <v>383.63544382033098</v>
      </c>
      <c r="JT41" s="1138">
        <v>367.05118801676997</v>
      </c>
      <c r="JU41" s="1138">
        <v>396.23380392493698</v>
      </c>
      <c r="JV41" s="1139">
        <v>11.52315680591</v>
      </c>
      <c r="JX41" s="169" t="s">
        <v>563</v>
      </c>
      <c r="JY41" s="703">
        <v>176.95639913858599</v>
      </c>
      <c r="JZ41" s="704">
        <v>333.82713980520799</v>
      </c>
      <c r="KA41" s="704">
        <v>261.454237160302</v>
      </c>
      <c r="KB41" s="173">
        <v>386.20581646385301</v>
      </c>
      <c r="KC41" s="603"/>
      <c r="KD41" s="169" t="s">
        <v>563</v>
      </c>
      <c r="KE41" s="703">
        <v>0</v>
      </c>
      <c r="KF41" s="704">
        <v>9.7745748142784201</v>
      </c>
      <c r="KG41" s="704">
        <v>217.773494750346</v>
      </c>
      <c r="KH41" s="704">
        <v>67.554614703570707</v>
      </c>
      <c r="KI41" s="704">
        <v>66.746657785267004</v>
      </c>
      <c r="KJ41" s="173">
        <v>377.32370198104701</v>
      </c>
      <c r="KK41" s="703">
        <v>35.1632222500035</v>
      </c>
      <c r="KL41" s="704">
        <v>127.21394445617</v>
      </c>
      <c r="KM41" s="704">
        <v>207.12694292852399</v>
      </c>
      <c r="KN41" s="704">
        <v>25.426319961670199</v>
      </c>
      <c r="KO41" s="704">
        <v>13.6320395936923</v>
      </c>
      <c r="KP41" s="173">
        <v>10.708079343379501</v>
      </c>
      <c r="KQ41" s="703">
        <v>35.1632222500035</v>
      </c>
      <c r="KR41" s="704">
        <v>136.98851927044799</v>
      </c>
      <c r="KS41" s="704">
        <v>424.90043767886999</v>
      </c>
      <c r="KT41" s="704">
        <v>92.980934665240895</v>
      </c>
      <c r="KU41" s="704">
        <v>80.378697378959302</v>
      </c>
      <c r="KV41" s="173">
        <v>388.03178132442599</v>
      </c>
      <c r="KW41" s="429"/>
      <c r="KX41" s="169" t="s">
        <v>563</v>
      </c>
      <c r="KY41" s="172">
        <f t="shared" ref="KY41:KY65" si="35">VLOOKUP($B41,$DO$9:$DR$91,2,FALSE)-(VLOOKUP($B41,$KX$9:$LG$91,3,FALSE)+VLOOKUP($B41,$KX$9:$LG$91,4,FALSE))</f>
        <v>229.29549799999984</v>
      </c>
      <c r="KZ41" s="337">
        <v>557.17811400000005</v>
      </c>
      <c r="LA41" s="173">
        <v>187.977867</v>
      </c>
      <c r="LB41" s="172">
        <f t="shared" ref="LB41:LB65" si="36">VLOOKUP($B41,$DO$9:$DR$91,3,FALSE)-(VLOOKUP($B41,$KX$9:$LG$91,6,FALSE)+VLOOKUP($B41,$KX$9:$LG$91,7,FALSE))</f>
        <v>291.29556892838582</v>
      </c>
      <c r="LC41" s="704">
        <v>653.01075768546013</v>
      </c>
      <c r="LD41" s="173">
        <v>137.02576543417888</v>
      </c>
      <c r="LE41" s="172">
        <f t="shared" ref="LE41:LE65" si="37">VLOOKUP($B41,$DO$9:$DR$91,4,FALSE)-(VLOOKUP($B41,$KX$9:$LG$91,9,FALSE)+VLOOKUP($B41,$KX$9:$LG$91,10,FALSE))</f>
        <v>255.20608631430196</v>
      </c>
      <c r="LF41" s="1138">
        <v>713.831897075401</v>
      </c>
      <c r="LG41" s="1139">
        <v>189.405609178247</v>
      </c>
      <c r="LH41" s="426"/>
      <c r="LI41" s="169" t="s">
        <v>563</v>
      </c>
      <c r="LJ41" s="703">
        <v>866.30132800000001</v>
      </c>
      <c r="LK41" s="704">
        <v>761.92501900000002</v>
      </c>
      <c r="LL41" s="704">
        <v>104.37630900000001</v>
      </c>
      <c r="LM41" s="704">
        <v>114.960258</v>
      </c>
      <c r="LN41" s="704">
        <v>104.03512000000001</v>
      </c>
      <c r="LO41" s="173">
        <v>55.116391999999998</v>
      </c>
      <c r="LP41" s="703">
        <v>954.240156627749</v>
      </c>
      <c r="LQ41" s="704">
        <v>792.99215973576679</v>
      </c>
      <c r="LR41" s="704">
        <v>161.24799689198215</v>
      </c>
      <c r="LS41" s="704">
        <v>149.9385012677613</v>
      </c>
      <c r="LT41" s="704">
        <v>70.443836373516518</v>
      </c>
      <c r="LU41" s="173">
        <v>126.16357692320675</v>
      </c>
      <c r="LV41" s="1137">
        <v>1085.8005057692999</v>
      </c>
      <c r="LW41" s="1138">
        <v>946.42186364753297</v>
      </c>
      <c r="LX41" s="1138">
        <v>139.37864212176399</v>
      </c>
      <c r="LY41" s="1138">
        <v>187.819218058405</v>
      </c>
      <c r="LZ41" s="1138">
        <v>84.176577081643401</v>
      </c>
      <c r="MA41" s="1139">
        <v>143.34635548364</v>
      </c>
      <c r="MC41" s="169" t="s">
        <v>563</v>
      </c>
      <c r="MD41" s="703">
        <v>0</v>
      </c>
      <c r="ME41" s="704">
        <v>23.694927</v>
      </c>
      <c r="MF41" s="704">
        <v>52.593788000000004</v>
      </c>
      <c r="MG41" s="704">
        <v>152.031261</v>
      </c>
      <c r="MH41" s="704">
        <v>341.05420700000002</v>
      </c>
      <c r="MI41" s="173">
        <v>192.550836</v>
      </c>
      <c r="MJ41" s="703">
        <v>0</v>
      </c>
      <c r="MK41" s="704">
        <v>30.64900358323737</v>
      </c>
      <c r="ML41" s="704">
        <v>102.33480329349018</v>
      </c>
      <c r="MM41" s="704">
        <v>173.21793080326302</v>
      </c>
      <c r="MN41" s="704">
        <v>305.74395997280948</v>
      </c>
      <c r="MO41" s="173">
        <v>181.04646208296677</v>
      </c>
      <c r="MP41" s="1137">
        <v>0</v>
      </c>
      <c r="MQ41" s="1138">
        <v>15.8258056349532</v>
      </c>
      <c r="MR41" s="1138">
        <v>153.86767648850599</v>
      </c>
      <c r="MS41" s="1138">
        <v>275.10288576015802</v>
      </c>
      <c r="MT41" s="1138">
        <v>346.31329167285099</v>
      </c>
      <c r="MU41" s="1139">
        <v>155.31220409106501</v>
      </c>
      <c r="MW41" s="169" t="s">
        <v>563</v>
      </c>
      <c r="MX41" s="172">
        <v>766.49473</v>
      </c>
      <c r="MY41" s="337">
        <v>697.37790800000005</v>
      </c>
      <c r="MZ41" s="337">
        <v>69.116821999999999</v>
      </c>
      <c r="NA41" s="703">
        <v>796.45708250079156</v>
      </c>
      <c r="NB41" s="704">
        <v>731.39770159775583</v>
      </c>
      <c r="NC41" s="173">
        <v>65.059380903035773</v>
      </c>
      <c r="ND41" s="1137">
        <v>952.57883689820903</v>
      </c>
      <c r="NE41" s="1138">
        <v>885.51431181879002</v>
      </c>
      <c r="NF41" s="1139">
        <v>67.064525079419099</v>
      </c>
      <c r="NH41" s="169" t="s">
        <v>563</v>
      </c>
      <c r="NI41" s="703">
        <v>584.02827183777879</v>
      </c>
      <c r="NJ41" s="173">
        <v>147.36942975997698</v>
      </c>
      <c r="NK41" s="703">
        <v>35.614440264473622</v>
      </c>
      <c r="NL41" s="704">
        <v>28.422201147834951</v>
      </c>
      <c r="NM41" s="173">
        <v>1.02273949072721</v>
      </c>
      <c r="NN41" s="1137">
        <v>700.46944495493301</v>
      </c>
      <c r="NO41" s="1139">
        <v>185.04486686385638</v>
      </c>
      <c r="NP41" s="1137">
        <v>54.439637048410901</v>
      </c>
      <c r="NQ41" s="1138">
        <v>11.6775393121686</v>
      </c>
      <c r="NR41" s="1139">
        <v>0.94734871883954197</v>
      </c>
      <c r="NS41" s="136"/>
      <c r="NT41" s="169" t="s">
        <v>563</v>
      </c>
      <c r="NU41" s="703">
        <v>103.99259881223198</v>
      </c>
      <c r="NV41" s="704">
        <v>21.337465185882351</v>
      </c>
      <c r="NW41" s="704">
        <v>3.49409311924494</v>
      </c>
      <c r="NX41" s="173">
        <v>18.545272642617689</v>
      </c>
      <c r="NY41" s="1137">
        <v>122.047568274296</v>
      </c>
      <c r="NZ41" s="1138">
        <v>28.989187212870299</v>
      </c>
      <c r="OA41" s="1138">
        <v>0</v>
      </c>
      <c r="OB41" s="1139">
        <v>34.008111376690103</v>
      </c>
      <c r="OC41" s="553"/>
      <c r="OD41" s="169" t="s">
        <v>563</v>
      </c>
      <c r="OE41" s="703">
        <v>70.720031077865102</v>
      </c>
      <c r="OF41" s="704">
        <v>87.936787016860507</v>
      </c>
      <c r="OG41" s="704">
        <v>69.440808921385596</v>
      </c>
      <c r="OH41" s="704">
        <v>70.651003024804794</v>
      </c>
      <c r="OI41" s="704">
        <v>163.913011117053</v>
      </c>
      <c r="OJ41" s="704">
        <v>19.428548529477499</v>
      </c>
      <c r="OK41" s="173">
        <v>11.5805153879447</v>
      </c>
      <c r="OL41" s="703">
        <v>103.347702023907</v>
      </c>
      <c r="OM41" s="704">
        <v>97.564538277488495</v>
      </c>
      <c r="ON41" s="704">
        <v>69.440808921385596</v>
      </c>
      <c r="OO41" s="704">
        <v>73.857497758277106</v>
      </c>
      <c r="OP41" s="704">
        <v>304.362312059837</v>
      </c>
      <c r="OQ41" s="704">
        <v>192.597168613577</v>
      </c>
      <c r="OR41" s="173">
        <v>1280.02221338044</v>
      </c>
      <c r="OT41" s="169" t="s">
        <v>563</v>
      </c>
      <c r="OU41" s="172">
        <v>605.89358300000004</v>
      </c>
      <c r="OV41" s="337">
        <v>358.97707100000002</v>
      </c>
      <c r="OW41" s="337">
        <v>242.164041</v>
      </c>
      <c r="OX41" s="173">
        <v>226.47150900000003</v>
      </c>
      <c r="OY41" s="703">
        <v>615.3985401405572</v>
      </c>
      <c r="OZ41" s="704">
        <v>393.87954565993351</v>
      </c>
      <c r="PA41" s="704">
        <v>191.84975260727236</v>
      </c>
      <c r="PB41" s="173">
        <v>337.94218752187294</v>
      </c>
      <c r="PC41" s="1137">
        <v>378.72161009043901</v>
      </c>
      <c r="PD41" s="1138">
        <v>377.67794171481802</v>
      </c>
      <c r="PE41" s="1138">
        <v>268.14923634758799</v>
      </c>
      <c r="PF41" s="1139">
        <v>560.71732560000396</v>
      </c>
      <c r="PH41" s="169" t="s">
        <v>563</v>
      </c>
      <c r="PI41" s="703">
        <v>155.77452186827679</v>
      </c>
      <c r="PJ41" s="704">
        <v>189.38461541368699</v>
      </c>
      <c r="PK41" s="704">
        <v>121.52500486679</v>
      </c>
      <c r="PL41" s="173">
        <v>275.20791575155062</v>
      </c>
      <c r="PM41" s="703">
        <v>222.94708822216219</v>
      </c>
      <c r="PN41" s="704">
        <v>188.293326301131</v>
      </c>
      <c r="PO41" s="704">
        <v>146.62423148079799</v>
      </c>
      <c r="PP41" s="173">
        <v>285.50940984845442</v>
      </c>
      <c r="PQ41" s="65"/>
      <c r="PR41" s="169" t="s">
        <v>563</v>
      </c>
      <c r="PS41" s="1038">
        <v>12.600341027781001</v>
      </c>
      <c r="PT41" s="1039">
        <v>60.209922570002902</v>
      </c>
      <c r="PU41" s="1039">
        <v>62.0908027309994</v>
      </c>
      <c r="PV41" s="1039">
        <v>22.290330885531301</v>
      </c>
      <c r="PW41" s="1039">
        <v>577.55632192494602</v>
      </c>
      <c r="PX41" s="1040">
        <v>217.83111775894801</v>
      </c>
      <c r="PZ41" s="169" t="s">
        <v>563</v>
      </c>
      <c r="QA41" s="1038">
        <v>589.46435897839694</v>
      </c>
      <c r="QB41" s="1039">
        <v>363.11447791981101</v>
      </c>
      <c r="QC41" s="1039">
        <v>282.44149254265</v>
      </c>
      <c r="QD41" s="1039">
        <v>35.230977273789797</v>
      </c>
      <c r="QE41" s="1039">
        <v>45.442008103372103</v>
      </c>
      <c r="QF41" s="1040">
        <v>0</v>
      </c>
    </row>
    <row r="42" spans="1:448" ht="13.5" customHeight="1">
      <c r="A42" s="591" t="s">
        <v>507</v>
      </c>
      <c r="B42" s="167" t="s">
        <v>564</v>
      </c>
      <c r="C42" s="1104">
        <v>2043.0747510000001</v>
      </c>
      <c r="D42" s="692">
        <v>1549.5197019838492</v>
      </c>
      <c r="E42" s="693">
        <v>1752.9863787046299</v>
      </c>
      <c r="F42" s="428"/>
      <c r="G42" s="169" t="s">
        <v>564</v>
      </c>
      <c r="H42" s="577">
        <f t="shared" si="5"/>
        <v>-5.3800815975436622E-2</v>
      </c>
      <c r="I42" s="668">
        <f t="shared" si="6"/>
        <v>2.4982115844582209E-2</v>
      </c>
      <c r="J42" s="612"/>
      <c r="K42" s="63"/>
      <c r="L42" s="167" t="s">
        <v>564</v>
      </c>
      <c r="M42" s="638">
        <v>30</v>
      </c>
      <c r="N42" s="639">
        <v>29</v>
      </c>
      <c r="O42" s="639">
        <v>23</v>
      </c>
      <c r="P42" s="639">
        <v>34</v>
      </c>
      <c r="Q42" s="639">
        <v>35</v>
      </c>
      <c r="R42" s="639">
        <v>23</v>
      </c>
      <c r="S42" s="639">
        <v>29</v>
      </c>
      <c r="T42" s="639">
        <v>30</v>
      </c>
      <c r="U42" s="1141">
        <v>40</v>
      </c>
      <c r="V42" s="1141">
        <v>27</v>
      </c>
      <c r="W42" s="1142">
        <v>25</v>
      </c>
      <c r="X42" s="169" t="s">
        <v>564</v>
      </c>
      <c r="Y42" s="669">
        <v>29.5</v>
      </c>
      <c r="Z42" s="670">
        <v>28.5</v>
      </c>
      <c r="AA42" s="670">
        <v>29</v>
      </c>
      <c r="AB42" s="670">
        <v>29.5</v>
      </c>
      <c r="AC42" s="670">
        <v>29.5</v>
      </c>
      <c r="AD42" s="671">
        <v>-3.3898305084745763E-2</v>
      </c>
      <c r="AE42" s="671">
        <v>1.7543859649122806E-2</v>
      </c>
      <c r="AF42" s="671">
        <v>1.7241379310344827E-2</v>
      </c>
      <c r="AG42" s="1214">
        <v>1.7543859649122806E-2</v>
      </c>
      <c r="AN42" s="169" t="s">
        <v>564</v>
      </c>
      <c r="AO42" s="638">
        <v>3.5594830000000002</v>
      </c>
      <c r="AP42" s="639">
        <v>28.490722999999999</v>
      </c>
      <c r="AQ42" s="639">
        <v>35.854461000000001</v>
      </c>
      <c r="AR42" s="639">
        <v>122.79405800000001</v>
      </c>
      <c r="AS42" s="639">
        <v>387.33746200000002</v>
      </c>
      <c r="AT42" s="639">
        <v>323.16993500000001</v>
      </c>
      <c r="AU42" s="639">
        <v>438.98113499999999</v>
      </c>
      <c r="AV42" s="618">
        <v>273.26649300000003</v>
      </c>
      <c r="AW42" s="638">
        <v>0</v>
      </c>
      <c r="AX42" s="639">
        <v>24.303638737317662</v>
      </c>
      <c r="AY42" s="639">
        <v>40.658039905487243</v>
      </c>
      <c r="AZ42" s="639">
        <v>86.041213872996238</v>
      </c>
      <c r="BA42" s="639">
        <v>202.97879916348208</v>
      </c>
      <c r="BB42" s="639">
        <v>159.79417211884268</v>
      </c>
      <c r="BC42" s="639">
        <v>606.3825317975294</v>
      </c>
      <c r="BD42" s="618">
        <v>192.93819464686055</v>
      </c>
      <c r="BE42" s="1140">
        <v>0.92835999661978696</v>
      </c>
      <c r="BF42" s="1141">
        <v>53.020628028798299</v>
      </c>
      <c r="BG42" s="1141">
        <v>52.600533334796097</v>
      </c>
      <c r="BH42" s="1141">
        <v>99.981357988201793</v>
      </c>
      <c r="BI42" s="1141">
        <v>193.73671849754001</v>
      </c>
      <c r="BJ42" s="1141">
        <v>186.65772240644401</v>
      </c>
      <c r="BK42" s="1141">
        <v>550.24786793276303</v>
      </c>
      <c r="BL42" s="1142">
        <v>311.86658672746199</v>
      </c>
      <c r="BN42" s="169" t="s">
        <v>564</v>
      </c>
      <c r="BO42" s="649">
        <v>433.62099599999999</v>
      </c>
      <c r="BP42" s="650">
        <v>350.02727499999997</v>
      </c>
      <c r="BQ42" s="650">
        <v>382.286946</v>
      </c>
      <c r="BR42" s="650">
        <v>358.92400300000003</v>
      </c>
      <c r="BS42" s="650">
        <v>290.281904</v>
      </c>
      <c r="BT42" s="618">
        <v>227.933626</v>
      </c>
      <c r="BU42" s="649">
        <v>234.42311330435879</v>
      </c>
      <c r="BV42" s="650">
        <v>238.43384236296757</v>
      </c>
      <c r="BW42" s="650">
        <v>240.28399154484751</v>
      </c>
      <c r="BX42" s="650">
        <v>202.49037804322359</v>
      </c>
      <c r="BY42" s="650">
        <v>309.82871638861042</v>
      </c>
      <c r="BZ42" s="618">
        <v>324.0596603398414</v>
      </c>
      <c r="CA42" s="1140">
        <v>301.94660176123199</v>
      </c>
      <c r="CB42" s="1141">
        <v>295.60328419185402</v>
      </c>
      <c r="CC42" s="1141">
        <v>294.22736820429901</v>
      </c>
      <c r="CD42" s="1141">
        <v>240.04512231319501</v>
      </c>
      <c r="CE42" s="1141">
        <v>331.23354993445702</v>
      </c>
      <c r="CF42" s="1142">
        <v>289.93045229958898</v>
      </c>
      <c r="CG42" s="429"/>
      <c r="CH42" s="169" t="s">
        <v>564</v>
      </c>
      <c r="CI42" s="172">
        <v>547.171874</v>
      </c>
      <c r="CJ42" s="337">
        <v>1074.061678</v>
      </c>
      <c r="CK42" s="337">
        <v>421.84120000000001</v>
      </c>
      <c r="CL42" s="647">
        <v>278.88824921862584</v>
      </c>
      <c r="CM42" s="648">
        <v>722.60716473971775</v>
      </c>
      <c r="CN42" s="648">
        <v>548.0242880255056</v>
      </c>
      <c r="CO42" s="1140">
        <v>387.43977897145101</v>
      </c>
      <c r="CP42" s="1141">
        <v>831.44519820280095</v>
      </c>
      <c r="CQ42" s="1142">
        <v>534.10140153037605</v>
      </c>
      <c r="CR42" s="429"/>
      <c r="CT42" s="1281" t="str">
        <f>CONCATENATE($CX41," Hommes")</f>
        <v>Paul Bert Hommes</v>
      </c>
      <c r="CU42" s="1281" t="str">
        <f>CONCATENATE($DB$7," Femmes")</f>
        <v>Paul Bert Femmes</v>
      </c>
      <c r="CV42" s="1281" t="str">
        <f>CONCATENATE($CZ41," Hommes")</f>
        <v>Tours nord Hommes</v>
      </c>
      <c r="CW42" s="1281" t="str">
        <f>CONCATENATE($DD$7," Femmes")</f>
        <v>Tours nord Femmes</v>
      </c>
      <c r="CX42" s="1288" t="str">
        <f>CONCATENATE($CX41," Hommes")</f>
        <v>Paul Bert Hommes</v>
      </c>
      <c r="CY42" s="1288" t="str">
        <f>CONCATENATE($DB$7," Femmes")</f>
        <v>Paul Bert Femmes</v>
      </c>
      <c r="CZ42" s="1288" t="str">
        <f>CONCATENATE($CZ41," Hommes")</f>
        <v>Tours nord Hommes</v>
      </c>
      <c r="DA42" s="1288" t="str">
        <f>CONCATENATE($DD$7," Femmes")</f>
        <v>Tours nord Femmes</v>
      </c>
      <c r="DB42" s="426"/>
      <c r="DC42" s="426"/>
      <c r="DD42" s="426"/>
      <c r="DE42" s="426"/>
      <c r="DG42" s="169" t="s">
        <v>564</v>
      </c>
      <c r="DH42" s="1147" t="s">
        <v>746</v>
      </c>
      <c r="DI42" s="1150" t="s">
        <v>746</v>
      </c>
      <c r="DJ42" s="704" t="s">
        <v>924</v>
      </c>
      <c r="DK42" s="704" t="s">
        <v>925</v>
      </c>
      <c r="DL42" s="337" t="s">
        <v>926</v>
      </c>
      <c r="DM42" s="174" t="s">
        <v>864</v>
      </c>
      <c r="DO42" s="167" t="s">
        <v>564</v>
      </c>
      <c r="DP42" s="706">
        <v>986.30098199999998</v>
      </c>
      <c r="DQ42" s="617">
        <v>915.296339771558</v>
      </c>
      <c r="DR42" s="1142">
        <v>893.47945751965199</v>
      </c>
      <c r="DS42" s="63"/>
      <c r="DT42" s="169" t="s">
        <v>564</v>
      </c>
      <c r="DU42" s="172">
        <v>2039.074756</v>
      </c>
      <c r="DV42" s="337">
        <v>1543.5197066729256</v>
      </c>
      <c r="DW42" s="1139">
        <v>1575.9861989814799</v>
      </c>
      <c r="DX42" s="63"/>
      <c r="DY42" s="169" t="s">
        <v>564</v>
      </c>
      <c r="DZ42" s="1089">
        <f t="shared" si="32"/>
        <v>2.0673960517257197</v>
      </c>
      <c r="EA42" s="787">
        <f t="shared" si="33"/>
        <v>1.6863606239899978</v>
      </c>
      <c r="EB42" s="794">
        <f t="shared" si="34"/>
        <v>1.7638751352566113</v>
      </c>
      <c r="ED42" s="541"/>
      <c r="EE42" s="169" t="s">
        <v>564</v>
      </c>
      <c r="EF42" s="737">
        <v>466.01984299999998</v>
      </c>
      <c r="EG42" s="738">
        <v>10.101729000000001</v>
      </c>
      <c r="EH42" s="738">
        <v>186.01281499999999</v>
      </c>
      <c r="EI42" s="738">
        <v>201.18789799999999</v>
      </c>
      <c r="EJ42" s="738">
        <v>122.97869799999999</v>
      </c>
      <c r="EK42" s="705">
        <v>507.33288262593283</v>
      </c>
      <c r="EL42" s="706">
        <v>21.518813854821012</v>
      </c>
      <c r="EM42" s="706">
        <v>199.28987609128703</v>
      </c>
      <c r="EN42" s="706">
        <v>90.088792766952835</v>
      </c>
      <c r="EO42" s="706">
        <v>97.065974432564161</v>
      </c>
      <c r="EP42" s="1140">
        <v>495.76214204543101</v>
      </c>
      <c r="EQ42" s="1141">
        <v>18.524708316519799</v>
      </c>
      <c r="ER42" s="1141">
        <v>171.238355971467</v>
      </c>
      <c r="ES42" s="1141">
        <v>95.7341692466631</v>
      </c>
      <c r="ET42" s="1142">
        <v>112.220081939571</v>
      </c>
      <c r="EV42" s="169" t="s">
        <v>564</v>
      </c>
      <c r="EW42" s="705">
        <v>26.228711000000001</v>
      </c>
      <c r="EX42" s="706">
        <v>187.58913200000001</v>
      </c>
      <c r="EY42" s="706">
        <v>186.137035</v>
      </c>
      <c r="EZ42" s="706">
        <v>66.064964000000003</v>
      </c>
      <c r="FA42" s="705">
        <v>226.39526599999999</v>
      </c>
      <c r="FB42" s="706">
        <v>745.45570999999995</v>
      </c>
      <c r="FC42" s="706">
        <v>503.36635000000001</v>
      </c>
      <c r="FD42" s="706">
        <v>130.236434</v>
      </c>
      <c r="FE42" s="705">
        <v>32.873801959016113</v>
      </c>
      <c r="FF42" s="706">
        <v>154.54319364379879</v>
      </c>
      <c r="FG42" s="706">
        <v>206.44777659760069</v>
      </c>
      <c r="FH42" s="618">
        <v>113.4681104255172</v>
      </c>
      <c r="FI42" s="705">
        <v>146.85176537269894</v>
      </c>
      <c r="FJ42" s="706">
        <v>452.64958096004324</v>
      </c>
      <c r="FK42" s="748">
        <v>490.91102619566885</v>
      </c>
      <c r="FL42" s="749">
        <v>218.68422084015572</v>
      </c>
      <c r="FM42" s="1140">
        <v>38.147814183587599</v>
      </c>
      <c r="FN42" s="1141">
        <v>160.838021020486</v>
      </c>
      <c r="FO42" s="1141">
        <v>196.24973666966301</v>
      </c>
      <c r="FP42" s="1142">
        <v>100.526570171695</v>
      </c>
      <c r="FQ42" s="1140">
        <v>156.04734004938001</v>
      </c>
      <c r="FR42" s="1141">
        <v>500.79488112973002</v>
      </c>
      <c r="FS42" s="1141">
        <v>458.29364280198598</v>
      </c>
      <c r="FT42" s="1142">
        <v>182.903757608391</v>
      </c>
      <c r="FV42" s="167" t="s">
        <v>564</v>
      </c>
      <c r="FW42" s="617">
        <v>220.64567</v>
      </c>
      <c r="FX42" s="337">
        <v>133.75160199999999</v>
      </c>
      <c r="FY42" s="337">
        <v>89.982322999999994</v>
      </c>
      <c r="FZ42" s="173">
        <v>69.998992999999999</v>
      </c>
      <c r="GA42" s="703">
        <v>211.95398399259605</v>
      </c>
      <c r="GB42" s="704">
        <v>96.378461260840979</v>
      </c>
      <c r="GC42" s="704">
        <v>45.271713136004657</v>
      </c>
      <c r="GD42" s="173">
        <v>32.840484901362352</v>
      </c>
      <c r="GE42" s="1137">
        <v>195.845691539424</v>
      </c>
      <c r="GF42" s="1138">
        <v>83.579636307906497</v>
      </c>
      <c r="GG42" s="1138">
        <v>53.816974452689102</v>
      </c>
      <c r="GH42" s="1139">
        <v>46.878664854301604</v>
      </c>
      <c r="GJ42" s="169" t="s">
        <v>564</v>
      </c>
      <c r="GK42" s="705">
        <v>1074.498797</v>
      </c>
      <c r="GL42" s="706">
        <v>1072.4992846836983</v>
      </c>
      <c r="GM42" s="1142">
        <v>1064.0009072247301</v>
      </c>
      <c r="GO42" s="169" t="s">
        <v>564</v>
      </c>
      <c r="GP42" s="705">
        <v>986.30098199999998</v>
      </c>
      <c r="GQ42" s="706">
        <v>0.98375999999999997</v>
      </c>
      <c r="GR42" s="618">
        <v>87.214055000000002</v>
      </c>
      <c r="GS42" s="705">
        <v>915.296339771558</v>
      </c>
      <c r="GT42" s="706">
        <v>14.02465040249279</v>
      </c>
      <c r="GU42" s="618">
        <v>143.17829450964788</v>
      </c>
      <c r="GV42" s="1140">
        <v>893.47945751965199</v>
      </c>
      <c r="GW42" s="1141">
        <v>22.602890929009099</v>
      </c>
      <c r="GX42" s="1142">
        <v>147.91855877607301</v>
      </c>
      <c r="GZ42" s="169" t="s">
        <v>564</v>
      </c>
      <c r="HA42" s="172">
        <v>0</v>
      </c>
      <c r="HB42" s="337">
        <v>1070.9393130000001</v>
      </c>
      <c r="HC42" s="173">
        <f t="shared" si="7"/>
        <v>3.559483999999884</v>
      </c>
      <c r="HD42" s="705">
        <v>2.973780022939839</v>
      </c>
      <c r="HE42" s="706">
        <v>1069.5255046607588</v>
      </c>
      <c r="HF42" s="618">
        <f t="shared" si="8"/>
        <v>0</v>
      </c>
      <c r="HG42" s="624">
        <v>2.0329616051995099</v>
      </c>
      <c r="HH42" s="1141">
        <v>1055.91032912111</v>
      </c>
      <c r="HI42" s="618">
        <f t="shared" si="9"/>
        <v>6.0576164984206571</v>
      </c>
      <c r="HK42" s="169" t="s">
        <v>564</v>
      </c>
      <c r="HL42" s="704">
        <v>986.30098199999998</v>
      </c>
      <c r="HM42" s="704">
        <v>3276.4697390000001</v>
      </c>
      <c r="HN42" s="776">
        <f t="shared" si="10"/>
        <v>3.321977569520457</v>
      </c>
      <c r="HO42" s="703">
        <v>915.296339771558</v>
      </c>
      <c r="HP42" s="704">
        <v>2965.5143527220871</v>
      </c>
      <c r="HQ42" s="776">
        <f t="shared" si="11"/>
        <v>3.2399499745210689</v>
      </c>
      <c r="HR42" s="1138">
        <v>893.47945751965199</v>
      </c>
      <c r="HS42" s="1138">
        <v>2811.7432812965199</v>
      </c>
      <c r="HT42" s="784">
        <f t="shared" si="12"/>
        <v>3.1469590684290307</v>
      </c>
      <c r="HV42" s="169" t="s">
        <v>564</v>
      </c>
      <c r="HW42" s="172">
        <v>0</v>
      </c>
      <c r="HX42" s="337">
        <v>0</v>
      </c>
      <c r="HY42" s="787" t="e">
        <f t="shared" si="13"/>
        <v>#DIV/0!</v>
      </c>
      <c r="HZ42" s="704">
        <v>982.74149899999998</v>
      </c>
      <c r="IA42" s="704">
        <v>3258.6723229999998</v>
      </c>
      <c r="IB42" s="787">
        <f t="shared" si="14"/>
        <v>3.3158997827159022</v>
      </c>
      <c r="IC42" s="705">
        <v>2.973780022939839</v>
      </c>
      <c r="ID42" s="706">
        <v>5.947560045879678</v>
      </c>
      <c r="IE42" s="793">
        <v>0</v>
      </c>
      <c r="IF42" s="706">
        <v>912.322559748618</v>
      </c>
      <c r="IG42" s="706">
        <v>2959.5667926762071</v>
      </c>
      <c r="IH42" s="794">
        <f t="shared" si="16"/>
        <v>3.2439916793153598</v>
      </c>
      <c r="II42" s="1140">
        <v>2.0329616051995099</v>
      </c>
      <c r="IJ42" s="1141">
        <v>2.9613216018193</v>
      </c>
      <c r="IK42" s="1172">
        <f t="shared" si="17"/>
        <v>1.4566539743030136</v>
      </c>
      <c r="IL42" s="1141">
        <v>886.31723847000205</v>
      </c>
      <c r="IM42" s="1141">
        <v>2790.1216499101401</v>
      </c>
      <c r="IN42" s="1173">
        <f t="shared" si="18"/>
        <v>3.147994339731635</v>
      </c>
      <c r="IP42" s="169" t="s">
        <v>564</v>
      </c>
      <c r="IQ42" s="705">
        <v>92.473309</v>
      </c>
      <c r="IR42" s="706">
        <v>157.738652</v>
      </c>
      <c r="IS42" s="706">
        <v>266.10007300000001</v>
      </c>
      <c r="IT42" s="706">
        <v>324.51125999999999</v>
      </c>
      <c r="IU42" s="706">
        <v>145.477688</v>
      </c>
      <c r="IV42" s="706">
        <v>3276.4697390000001</v>
      </c>
      <c r="IW42" s="705">
        <v>103.25326250192563</v>
      </c>
      <c r="IX42" s="706">
        <v>138.06565995001145</v>
      </c>
      <c r="IY42" s="706">
        <v>255.9232313880166</v>
      </c>
      <c r="IZ42" s="706">
        <v>300.11464643325377</v>
      </c>
      <c r="JA42" s="706">
        <v>117.93953949835036</v>
      </c>
      <c r="JB42" s="618">
        <v>2965.5143527220871</v>
      </c>
      <c r="JC42" s="1140">
        <v>97.502940354796195</v>
      </c>
      <c r="JD42" s="1141">
        <v>222.95419997813099</v>
      </c>
      <c r="JE42" s="1141">
        <v>158.88314926569001</v>
      </c>
      <c r="JF42" s="1141">
        <v>293.13325445984702</v>
      </c>
      <c r="JG42" s="1141">
        <v>121.005913461188</v>
      </c>
      <c r="JH42" s="1142">
        <v>2811.7432812965199</v>
      </c>
      <c r="JJ42" s="169" t="s">
        <v>564</v>
      </c>
      <c r="JK42" s="172">
        <v>223.66954699999999</v>
      </c>
      <c r="JL42" s="337">
        <v>35.940334000000007</v>
      </c>
      <c r="JM42" s="337">
        <v>708.47972200000004</v>
      </c>
      <c r="JN42" s="173">
        <v>18.211379000000001</v>
      </c>
      <c r="JO42" s="705">
        <v>413.60176416459393</v>
      </c>
      <c r="JP42" s="706">
        <v>44.723712081875306</v>
      </c>
      <c r="JQ42" s="706">
        <v>455.979603517442</v>
      </c>
      <c r="JR42" s="618">
        <v>0.99126000764661304</v>
      </c>
      <c r="JS42" s="1140">
        <v>361.072162911112</v>
      </c>
      <c r="JT42" s="1141">
        <v>70.54794561065296</v>
      </c>
      <c r="JU42" s="1141">
        <v>460.00262900464702</v>
      </c>
      <c r="JV42" s="1142">
        <v>1.8567199932395699</v>
      </c>
      <c r="JX42" s="169" t="s">
        <v>564</v>
      </c>
      <c r="JY42" s="705">
        <v>128.07293955407499</v>
      </c>
      <c r="JZ42" s="706">
        <v>182.219270517697</v>
      </c>
      <c r="KA42" s="706">
        <v>162.27520022091301</v>
      </c>
      <c r="KB42" s="618">
        <v>420.91204722696699</v>
      </c>
      <c r="KC42" s="603"/>
      <c r="KD42" s="169" t="s">
        <v>564</v>
      </c>
      <c r="KE42" s="705">
        <v>0.92835999661978696</v>
      </c>
      <c r="KF42" s="706">
        <v>8.3552399695780792</v>
      </c>
      <c r="KG42" s="706">
        <v>205.132592243917</v>
      </c>
      <c r="KH42" s="706">
        <v>643.49519315392001</v>
      </c>
      <c r="KI42" s="706">
        <v>17.638839935775898</v>
      </c>
      <c r="KJ42" s="618">
        <v>9.8386531735720499</v>
      </c>
      <c r="KK42" s="705">
        <v>0</v>
      </c>
      <c r="KL42" s="706">
        <v>0</v>
      </c>
      <c r="KM42" s="706">
        <v>0</v>
      </c>
      <c r="KN42" s="706">
        <v>2.0329616051995099</v>
      </c>
      <c r="KO42" s="706">
        <v>0</v>
      </c>
      <c r="KP42" s="618">
        <v>0</v>
      </c>
      <c r="KQ42" s="705">
        <v>0.92835999661978696</v>
      </c>
      <c r="KR42" s="706">
        <v>8.3552399695780792</v>
      </c>
      <c r="KS42" s="706">
        <v>206.06095224053601</v>
      </c>
      <c r="KT42" s="706">
        <v>646.45651475573902</v>
      </c>
      <c r="KU42" s="706">
        <v>17.638839935775898</v>
      </c>
      <c r="KV42" s="618">
        <v>13.111190624783401</v>
      </c>
      <c r="KW42" s="429"/>
      <c r="KX42" s="169" t="s">
        <v>564</v>
      </c>
      <c r="KY42" s="172">
        <f t="shared" si="35"/>
        <v>352.84125300000005</v>
      </c>
      <c r="KZ42" s="337">
        <v>519.76816299999996</v>
      </c>
      <c r="LA42" s="173">
        <v>113.69156599999999</v>
      </c>
      <c r="LB42" s="172">
        <f t="shared" si="36"/>
        <v>348.63465645886265</v>
      </c>
      <c r="LC42" s="706">
        <v>485.32828731771087</v>
      </c>
      <c r="LD42" s="618">
        <v>81.333395994984485</v>
      </c>
      <c r="LE42" s="172">
        <f t="shared" si="37"/>
        <v>314.33702376511303</v>
      </c>
      <c r="LF42" s="1138">
        <v>477.12218745623198</v>
      </c>
      <c r="LG42" s="1139">
        <v>102.020246298307</v>
      </c>
      <c r="LH42" s="426"/>
      <c r="LI42" s="169" t="s">
        <v>564</v>
      </c>
      <c r="LJ42" s="705">
        <v>852.49441200000001</v>
      </c>
      <c r="LK42" s="706">
        <v>657.93489099999999</v>
      </c>
      <c r="LL42" s="706">
        <v>194.55952099999999</v>
      </c>
      <c r="LM42" s="706">
        <v>109.459502</v>
      </c>
      <c r="LN42" s="706">
        <v>91.998305000000002</v>
      </c>
      <c r="LO42" s="618">
        <v>133.660336</v>
      </c>
      <c r="LP42" s="705">
        <v>534.19909084308927</v>
      </c>
      <c r="LQ42" s="706">
        <v>342.98432147079711</v>
      </c>
      <c r="LR42" s="706">
        <v>191.21476937229215</v>
      </c>
      <c r="LS42" s="706">
        <v>64.128694617110085</v>
      </c>
      <c r="LT42" s="706">
        <v>74.408898104269952</v>
      </c>
      <c r="LU42" s="618">
        <v>94.33561708951548</v>
      </c>
      <c r="LV42" s="1140">
        <v>599.42768801360205</v>
      </c>
      <c r="LW42" s="1141">
        <v>435.54017536317798</v>
      </c>
      <c r="LX42" s="1141">
        <v>163.88751265042399</v>
      </c>
      <c r="LY42" s="1141">
        <v>81.919976716626195</v>
      </c>
      <c r="LZ42" s="1141">
        <v>46.030229594882897</v>
      </c>
      <c r="MA42" s="1142">
        <v>189.56048108790901</v>
      </c>
      <c r="MC42" s="169" t="s">
        <v>564</v>
      </c>
      <c r="MD42" s="705">
        <v>3.5594830000000002</v>
      </c>
      <c r="ME42" s="706">
        <v>18.746773999999998</v>
      </c>
      <c r="MF42" s="706">
        <v>31.488515</v>
      </c>
      <c r="MG42" s="706">
        <v>90.183762000000002</v>
      </c>
      <c r="MH42" s="706">
        <v>257.62587600000001</v>
      </c>
      <c r="MI42" s="618">
        <v>255.33048199999999</v>
      </c>
      <c r="MJ42" s="705">
        <v>0</v>
      </c>
      <c r="MK42" s="706">
        <v>20.338598706731212</v>
      </c>
      <c r="ML42" s="706">
        <v>34.325985954832731</v>
      </c>
      <c r="MM42" s="706">
        <v>58.892699761762856</v>
      </c>
      <c r="MN42" s="706">
        <v>125.56493097567588</v>
      </c>
      <c r="MO42" s="618">
        <v>104.86210529028166</v>
      </c>
      <c r="MP42" s="1140">
        <v>0</v>
      </c>
      <c r="MQ42" s="1141">
        <v>46.026342791009398</v>
      </c>
      <c r="MR42" s="1141">
        <v>40.494862015114002</v>
      </c>
      <c r="MS42" s="1141">
        <v>69.292305454277297</v>
      </c>
      <c r="MT42" s="1141">
        <v>147.96280167955601</v>
      </c>
      <c r="MU42" s="1142">
        <v>131.76386342322101</v>
      </c>
      <c r="MW42" s="169" t="s">
        <v>564</v>
      </c>
      <c r="MX42" s="172">
        <v>722.69153200000005</v>
      </c>
      <c r="MY42" s="337">
        <v>664.42064100000005</v>
      </c>
      <c r="MZ42" s="337">
        <v>58.270892000000003</v>
      </c>
      <c r="NA42" s="703">
        <v>349.3163754214516</v>
      </c>
      <c r="NB42" s="704">
        <v>323.74095778935509</v>
      </c>
      <c r="NC42" s="173">
        <v>25.575417632096521</v>
      </c>
      <c r="ND42" s="1137">
        <v>442.18028729633602</v>
      </c>
      <c r="NE42" s="1138">
        <v>370.74679779534898</v>
      </c>
      <c r="NF42" s="1139">
        <v>71.433489500987207</v>
      </c>
      <c r="NH42" s="169" t="s">
        <v>564</v>
      </c>
      <c r="NI42" s="703">
        <v>242.75766674555041</v>
      </c>
      <c r="NJ42" s="173">
        <v>80.983291043804698</v>
      </c>
      <c r="NK42" s="703">
        <v>17.900926826674326</v>
      </c>
      <c r="NL42" s="704">
        <v>7.6744908054221934</v>
      </c>
      <c r="NM42" s="173">
        <v>0</v>
      </c>
      <c r="NN42" s="1137">
        <v>251.21512292030499</v>
      </c>
      <c r="NO42" s="1139">
        <v>119.53167487504402</v>
      </c>
      <c r="NP42" s="1137">
        <v>59.125248197850802</v>
      </c>
      <c r="NQ42" s="1138">
        <v>12.3082413031364</v>
      </c>
      <c r="NR42" s="1139">
        <v>0</v>
      </c>
      <c r="NS42" s="136"/>
      <c r="NT42" s="169" t="s">
        <v>564</v>
      </c>
      <c r="NU42" s="705">
        <v>52.236750822052919</v>
      </c>
      <c r="NV42" s="706">
        <v>13.87764010705258</v>
      </c>
      <c r="NW42" s="706">
        <v>5.947560045879678</v>
      </c>
      <c r="NX42" s="618">
        <v>8.9213400688195161</v>
      </c>
      <c r="NY42" s="1140">
        <v>66.124837109963906</v>
      </c>
      <c r="NZ42" s="1141">
        <v>25.102970666316999</v>
      </c>
      <c r="OA42" s="1141">
        <v>10.564443186737501</v>
      </c>
      <c r="OB42" s="1142">
        <v>17.7394239120256</v>
      </c>
      <c r="OC42" s="553"/>
      <c r="OD42" s="169" t="s">
        <v>564</v>
      </c>
      <c r="OE42" s="705">
        <v>58.654944751963001</v>
      </c>
      <c r="OF42" s="706">
        <v>97.843020723560798</v>
      </c>
      <c r="OG42" s="706">
        <v>52.475356785704598</v>
      </c>
      <c r="OH42" s="706">
        <v>42.141681412729099</v>
      </c>
      <c r="OI42" s="706">
        <v>56.489034637011201</v>
      </c>
      <c r="OJ42" s="706">
        <v>8.3552399695780792</v>
      </c>
      <c r="OK42" s="618">
        <v>17.4077193329856</v>
      </c>
      <c r="OL42" s="705">
        <v>77.957484776435905</v>
      </c>
      <c r="OM42" s="706">
        <v>105.828999176636</v>
      </c>
      <c r="ON42" s="706">
        <v>60.020432703512299</v>
      </c>
      <c r="OO42" s="706">
        <v>55.1176670619204</v>
      </c>
      <c r="OP42" s="706">
        <v>117.92969024900501</v>
      </c>
      <c r="OQ42" s="706">
        <v>122.55592688092899</v>
      </c>
      <c r="OR42" s="618">
        <v>1155.4364927515401</v>
      </c>
      <c r="OT42" s="169" t="s">
        <v>564</v>
      </c>
      <c r="OU42" s="172">
        <v>715.94017200000008</v>
      </c>
      <c r="OV42" s="337">
        <v>388.34655800000002</v>
      </c>
      <c r="OW42" s="337">
        <v>205.62026700000001</v>
      </c>
      <c r="OX42" s="173">
        <v>148.12761999999998</v>
      </c>
      <c r="OY42" s="705">
        <v>494.23629519686813</v>
      </c>
      <c r="OZ42" s="706">
        <v>306.31432123471978</v>
      </c>
      <c r="PA42" s="706">
        <v>164.96260092867564</v>
      </c>
      <c r="PB42" s="618">
        <v>247.06729348389399</v>
      </c>
      <c r="PC42" s="1140">
        <v>496.86943705578994</v>
      </c>
      <c r="PD42" s="1141">
        <v>318.79089595502501</v>
      </c>
      <c r="PE42" s="1141">
        <v>222.12818250893099</v>
      </c>
      <c r="PF42" s="1142">
        <v>288.85758607134511</v>
      </c>
      <c r="PH42" s="169" t="s">
        <v>564</v>
      </c>
      <c r="PI42" s="703">
        <v>185.28688378660019</v>
      </c>
      <c r="PJ42" s="704">
        <v>166.686264412247</v>
      </c>
      <c r="PK42" s="704">
        <v>100.61870049633499</v>
      </c>
      <c r="PL42" s="173">
        <v>129.8307245801104</v>
      </c>
      <c r="PM42" s="703">
        <v>311.58255326919073</v>
      </c>
      <c r="PN42" s="704">
        <v>152.10463154277701</v>
      </c>
      <c r="PO42" s="704">
        <v>121.509482012596</v>
      </c>
      <c r="PP42" s="173">
        <v>159.0268614912348</v>
      </c>
      <c r="PQ42" s="65"/>
      <c r="PR42" s="169" t="s">
        <v>564</v>
      </c>
      <c r="PS42" s="1047">
        <v>14.4168891998441</v>
      </c>
      <c r="PT42" s="1048">
        <v>39.092783420708002</v>
      </c>
      <c r="PU42" s="1048">
        <v>9.9472990395098009</v>
      </c>
      <c r="PV42" s="1048">
        <v>12.1900425771868</v>
      </c>
      <c r="PW42" s="1048">
        <v>273.10958305983303</v>
      </c>
      <c r="PX42" s="1049">
        <v>93.423689999254606</v>
      </c>
      <c r="PZ42" s="169" t="s">
        <v>564</v>
      </c>
      <c r="QA42" s="1047">
        <v>290.76251128193599</v>
      </c>
      <c r="QB42" s="1048">
        <v>151.4177760144</v>
      </c>
      <c r="QC42" s="1048">
        <v>120.650965472555</v>
      </c>
      <c r="QD42" s="1048">
        <v>2.7850799898593599</v>
      </c>
      <c r="QE42" s="1048">
        <v>27.981730551985301</v>
      </c>
      <c r="QF42" s="1049">
        <v>0</v>
      </c>
    </row>
    <row r="43" spans="1:448" ht="13.2" customHeight="1">
      <c r="A43" s="592" t="s">
        <v>508</v>
      </c>
      <c r="B43" s="569" t="s">
        <v>565</v>
      </c>
      <c r="C43" s="1103">
        <v>2894.1927420000002</v>
      </c>
      <c r="D43" s="694">
        <v>3491.3426748943325</v>
      </c>
      <c r="E43" s="695">
        <v>3560.1547249865098</v>
      </c>
      <c r="F43" s="428"/>
      <c r="G43" s="570" t="s">
        <v>565</v>
      </c>
      <c r="H43" s="687">
        <f t="shared" si="5"/>
        <v>3.8228641058373647E-2</v>
      </c>
      <c r="I43" s="674">
        <f t="shared" si="6"/>
        <v>3.9111533084750238E-3</v>
      </c>
      <c r="J43" s="683"/>
      <c r="K43" s="63"/>
      <c r="L43" s="569" t="s">
        <v>565</v>
      </c>
      <c r="M43" s="640">
        <v>39</v>
      </c>
      <c r="N43" s="641">
        <v>39</v>
      </c>
      <c r="O43" s="641">
        <v>36</v>
      </c>
      <c r="P43" s="641">
        <v>31</v>
      </c>
      <c r="Q43" s="641">
        <v>32</v>
      </c>
      <c r="R43" s="641">
        <v>44</v>
      </c>
      <c r="S43" s="641">
        <v>38</v>
      </c>
      <c r="T43" s="641">
        <v>23</v>
      </c>
      <c r="U43" s="1144">
        <v>39</v>
      </c>
      <c r="V43" s="1144">
        <v>22</v>
      </c>
      <c r="W43" s="1145">
        <v>43</v>
      </c>
      <c r="X43" s="570" t="s">
        <v>565</v>
      </c>
      <c r="Y43" s="672">
        <v>39</v>
      </c>
      <c r="Z43" s="673">
        <v>33.5</v>
      </c>
      <c r="AA43" s="673">
        <v>38</v>
      </c>
      <c r="AB43" s="673">
        <v>30.5</v>
      </c>
      <c r="AC43" s="667">
        <v>30.5</v>
      </c>
      <c r="AD43" s="674">
        <v>-0.14102564102564102</v>
      </c>
      <c r="AE43" s="674">
        <v>0.13432835820895522</v>
      </c>
      <c r="AF43" s="674">
        <v>-0.19736842105263158</v>
      </c>
      <c r="AG43" s="1215">
        <v>0.13432835820895522</v>
      </c>
      <c r="AN43" s="570" t="s">
        <v>565</v>
      </c>
      <c r="AO43" s="640">
        <v>0</v>
      </c>
      <c r="AP43" s="641">
        <v>48.438232999999997</v>
      </c>
      <c r="AQ43" s="641">
        <v>304.10094400000003</v>
      </c>
      <c r="AR43" s="641">
        <v>453.49938500000002</v>
      </c>
      <c r="AS43" s="641">
        <v>421.43344100000002</v>
      </c>
      <c r="AT43" s="641">
        <v>258.39486799999997</v>
      </c>
      <c r="AU43" s="641">
        <v>742.54045499999995</v>
      </c>
      <c r="AV43" s="581">
        <v>282.07802199999998</v>
      </c>
      <c r="AW43" s="640">
        <v>0</v>
      </c>
      <c r="AX43" s="641">
        <v>60.652187718485912</v>
      </c>
      <c r="AY43" s="641">
        <v>266.63625107715421</v>
      </c>
      <c r="AZ43" s="641">
        <v>524.15987831565724</v>
      </c>
      <c r="BA43" s="641">
        <v>534.1784503706125</v>
      </c>
      <c r="BB43" s="641">
        <v>392.82601634663433</v>
      </c>
      <c r="BC43" s="641">
        <v>632.00667436429092</v>
      </c>
      <c r="BD43" s="581">
        <v>544.90292126544443</v>
      </c>
      <c r="BE43" s="1143">
        <v>1.06488572007763</v>
      </c>
      <c r="BF43" s="1144">
        <v>64.337259533332599</v>
      </c>
      <c r="BG43" s="1144">
        <v>275.13896899639002</v>
      </c>
      <c r="BH43" s="1144">
        <v>569.94378258013603</v>
      </c>
      <c r="BI43" s="1144">
        <v>562.22408697819799</v>
      </c>
      <c r="BJ43" s="1144">
        <v>362.36876341580501</v>
      </c>
      <c r="BK43" s="1144">
        <v>820.385898205069</v>
      </c>
      <c r="BL43" s="1145">
        <v>493.80200602154099</v>
      </c>
      <c r="BN43" s="570" t="s">
        <v>565</v>
      </c>
      <c r="BO43" s="645">
        <v>381.70739700000001</v>
      </c>
      <c r="BP43" s="646">
        <v>668.74592900000005</v>
      </c>
      <c r="BQ43" s="646">
        <v>610.80993899999999</v>
      </c>
      <c r="BR43" s="646">
        <v>484.99340599999999</v>
      </c>
      <c r="BS43" s="646">
        <v>345.79009600000001</v>
      </c>
      <c r="BT43" s="581">
        <v>402.14597600000002</v>
      </c>
      <c r="BU43" s="645">
        <v>535.98029543605287</v>
      </c>
      <c r="BV43" s="646">
        <v>810.8669429537872</v>
      </c>
      <c r="BW43" s="646">
        <v>692.3820095234571</v>
      </c>
      <c r="BX43" s="646">
        <v>688.44025736752133</v>
      </c>
      <c r="BY43" s="646">
        <v>332.7922530957469</v>
      </c>
      <c r="BZ43" s="581">
        <v>430.88091651776728</v>
      </c>
      <c r="CA43" s="1143">
        <v>409.88907252057498</v>
      </c>
      <c r="CB43" s="1144">
        <v>901.98658055781505</v>
      </c>
      <c r="CC43" s="1144">
        <v>615.42847715683001</v>
      </c>
      <c r="CD43" s="1144">
        <v>655.27643596821702</v>
      </c>
      <c r="CE43" s="1144">
        <v>451.72515993175398</v>
      </c>
      <c r="CF43" s="1145">
        <v>525.84899885131802</v>
      </c>
      <c r="CG43" s="429"/>
      <c r="CH43" s="570" t="s">
        <v>565</v>
      </c>
      <c r="CI43" s="580">
        <v>493.32705399999998</v>
      </c>
      <c r="CJ43" s="568">
        <v>1771.593496</v>
      </c>
      <c r="CK43" s="568">
        <v>629.27219100000002</v>
      </c>
      <c r="CL43" s="645">
        <v>791.75694870789152</v>
      </c>
      <c r="CM43" s="646">
        <v>2053.25354689816</v>
      </c>
      <c r="CN43" s="646">
        <v>646.33217928828117</v>
      </c>
      <c r="CO43" s="1143">
        <v>611.65889675399001</v>
      </c>
      <c r="CP43" s="1144">
        <v>2128.3837469463601</v>
      </c>
      <c r="CQ43" s="1145">
        <v>820.11208128615397</v>
      </c>
      <c r="CR43" s="429"/>
      <c r="CT43" s="1282"/>
      <c r="CU43" s="1282"/>
      <c r="CV43" s="1282"/>
      <c r="CW43" s="1282"/>
      <c r="CX43" s="1289"/>
      <c r="CY43" s="1289"/>
      <c r="CZ43" s="1289"/>
      <c r="DA43" s="1289"/>
      <c r="DB43" s="426"/>
      <c r="DC43" s="426"/>
      <c r="DD43" s="426"/>
      <c r="DE43" s="426"/>
      <c r="DG43" s="570" t="s">
        <v>565</v>
      </c>
      <c r="DH43" s="1148" t="s">
        <v>756</v>
      </c>
      <c r="DI43" s="1151" t="s">
        <v>927</v>
      </c>
      <c r="DJ43" s="708" t="s">
        <v>928</v>
      </c>
      <c r="DK43" s="708" t="s">
        <v>929</v>
      </c>
      <c r="DL43" s="568" t="s">
        <v>930</v>
      </c>
      <c r="DM43" s="588" t="s">
        <v>869</v>
      </c>
      <c r="DO43" s="569" t="s">
        <v>565</v>
      </c>
      <c r="DP43" s="704">
        <v>1566.4267480000001</v>
      </c>
      <c r="DQ43" s="337">
        <v>1665.986422902881</v>
      </c>
      <c r="DR43" s="1139">
        <v>1910.55120766199</v>
      </c>
      <c r="DS43" s="63"/>
      <c r="DT43" s="570" t="s">
        <v>565</v>
      </c>
      <c r="DU43" s="580">
        <v>2784.1928760000001</v>
      </c>
      <c r="DV43" s="568">
        <v>3315.3428124405732</v>
      </c>
      <c r="DW43" s="1145">
        <v>3369.1545310479701</v>
      </c>
      <c r="DX43" s="63"/>
      <c r="DY43" s="570" t="s">
        <v>565</v>
      </c>
      <c r="DZ43" s="1090">
        <f t="shared" si="32"/>
        <v>1.7774165817551526</v>
      </c>
      <c r="EA43" s="788">
        <f t="shared" si="33"/>
        <v>1.9900179058265</v>
      </c>
      <c r="EB43" s="777">
        <f t="shared" si="34"/>
        <v>1.7634463381753192</v>
      </c>
      <c r="ED43" s="541"/>
      <c r="EE43" s="570" t="s">
        <v>565</v>
      </c>
      <c r="EF43" s="739">
        <v>803.78787299999999</v>
      </c>
      <c r="EG43" s="740">
        <v>31.426100999999999</v>
      </c>
      <c r="EH43" s="740">
        <v>397.72913699999998</v>
      </c>
      <c r="EI43" s="740">
        <v>213.11025100000001</v>
      </c>
      <c r="EJ43" s="740">
        <v>120.37338699999999</v>
      </c>
      <c r="EK43" s="707">
        <v>767.72223221935292</v>
      </c>
      <c r="EL43" s="708">
        <v>39.661619985024991</v>
      </c>
      <c r="EM43" s="708">
        <v>373.30169388824646</v>
      </c>
      <c r="EN43" s="708">
        <v>327.95607225941819</v>
      </c>
      <c r="EO43" s="708">
        <v>157.34480455083849</v>
      </c>
      <c r="EP43" s="1143">
        <v>1011.4935126388</v>
      </c>
      <c r="EQ43" s="1144">
        <v>30.0133395840619</v>
      </c>
      <c r="ER43" s="1144">
        <v>416.86600139120497</v>
      </c>
      <c r="ES43" s="1144">
        <v>250.539942956304</v>
      </c>
      <c r="ET43" s="1145">
        <v>201.63841109161601</v>
      </c>
      <c r="EV43" s="570" t="s">
        <v>565</v>
      </c>
      <c r="EW43" s="707">
        <v>82.262859000000006</v>
      </c>
      <c r="EX43" s="708">
        <v>375.86867000000001</v>
      </c>
      <c r="EY43" s="708">
        <v>236.21395000000001</v>
      </c>
      <c r="EZ43" s="708">
        <v>109.44239399999999</v>
      </c>
      <c r="FA43" s="707">
        <v>353.771612</v>
      </c>
      <c r="FB43" s="708">
        <v>1240.913708</v>
      </c>
      <c r="FC43" s="708">
        <v>623.59511599999996</v>
      </c>
      <c r="FD43" s="708">
        <v>184.20504299999999</v>
      </c>
      <c r="FE43" s="707">
        <v>109.40766658850706</v>
      </c>
      <c r="FF43" s="708">
        <v>375.9730504676088</v>
      </c>
      <c r="FG43" s="708">
        <v>204.1006340551852</v>
      </c>
      <c r="FH43" s="581">
        <v>78.240881108051866</v>
      </c>
      <c r="FI43" s="707">
        <v>535.31948512580095</v>
      </c>
      <c r="FJ43" s="708">
        <v>1461.7133952639469</v>
      </c>
      <c r="FK43" s="750">
        <v>600.51781505118379</v>
      </c>
      <c r="FL43" s="751">
        <v>181.81182156358881</v>
      </c>
      <c r="FM43" s="1143">
        <v>110.166273886703</v>
      </c>
      <c r="FN43" s="1144">
        <v>470.71678387282901</v>
      </c>
      <c r="FO43" s="1144">
        <v>302.56030884880897</v>
      </c>
      <c r="FP43" s="1145">
        <v>128.05014603046399</v>
      </c>
      <c r="FQ43" s="1143">
        <v>545.06902822771895</v>
      </c>
      <c r="FR43" s="1144">
        <v>1411.52192533062</v>
      </c>
      <c r="FS43" s="1144">
        <v>755.67092995684902</v>
      </c>
      <c r="FT43" s="1145">
        <v>247.00357501221001</v>
      </c>
      <c r="FV43" s="569" t="s">
        <v>565</v>
      </c>
      <c r="FW43" s="337">
        <v>423.07577400000002</v>
      </c>
      <c r="FX43" s="568">
        <v>174.05736300000001</v>
      </c>
      <c r="FY43" s="568">
        <v>92.414940999999999</v>
      </c>
      <c r="FZ43" s="581">
        <v>41.664695000000002</v>
      </c>
      <c r="GA43" s="707">
        <v>395.3630934619697</v>
      </c>
      <c r="GB43" s="708">
        <v>208.56355968253999</v>
      </c>
      <c r="GC43" s="708">
        <v>158.4708948478264</v>
      </c>
      <c r="GD43" s="581">
        <v>99.779819524083337</v>
      </c>
      <c r="GE43" s="1143">
        <v>465.34758754896097</v>
      </c>
      <c r="GF43" s="1144">
        <v>197.844384375777</v>
      </c>
      <c r="GG43" s="1144">
        <v>152.502566576823</v>
      </c>
      <c r="GH43" s="1145">
        <v>56.978994176240796</v>
      </c>
      <c r="GJ43" s="570" t="s">
        <v>565</v>
      </c>
      <c r="GK43" s="707">
        <v>1706.4980889999999</v>
      </c>
      <c r="GL43" s="708">
        <v>1823.498698009384</v>
      </c>
      <c r="GM43" s="1145">
        <v>2149.0019399430998</v>
      </c>
      <c r="GO43" s="570" t="s">
        <v>565</v>
      </c>
      <c r="GP43" s="707">
        <v>1566.4267480000001</v>
      </c>
      <c r="GQ43" s="708">
        <v>30.169454000000002</v>
      </c>
      <c r="GR43" s="581">
        <v>109.901887</v>
      </c>
      <c r="GS43" s="707">
        <v>1665.986422902881</v>
      </c>
      <c r="GT43" s="708">
        <v>47.262142589501565</v>
      </c>
      <c r="GU43" s="581">
        <v>110.25013251700122</v>
      </c>
      <c r="GV43" s="1143">
        <v>1910.55120766199</v>
      </c>
      <c r="GW43" s="1144">
        <v>52.7184607929469</v>
      </c>
      <c r="GX43" s="1145">
        <v>185.73227148816699</v>
      </c>
      <c r="GZ43" s="570" t="s">
        <v>565</v>
      </c>
      <c r="HA43" s="707">
        <v>454.50217300000003</v>
      </c>
      <c r="HB43" s="708">
        <v>1248.241751</v>
      </c>
      <c r="HC43" s="581">
        <f t="shared" si="7"/>
        <v>3.7541649999998299</v>
      </c>
      <c r="HD43" s="703">
        <v>517.94277888134695</v>
      </c>
      <c r="HE43" s="704">
        <v>1298.2313859042076</v>
      </c>
      <c r="HF43" s="173">
        <f t="shared" si="8"/>
        <v>7.3245332238293486</v>
      </c>
      <c r="HG43" s="583">
        <v>466.67568460758798</v>
      </c>
      <c r="HH43" s="1138">
        <v>1682.32625533552</v>
      </c>
      <c r="HI43" s="173">
        <f t="shared" si="9"/>
        <v>-8.1854523159563541E-12</v>
      </c>
      <c r="HK43" s="570" t="s">
        <v>565</v>
      </c>
      <c r="HL43" s="707">
        <v>1566.4267480000001</v>
      </c>
      <c r="HM43" s="708">
        <v>5194.0765090000004</v>
      </c>
      <c r="HN43" s="777">
        <f t="shared" si="10"/>
        <v>3.3158757762734528</v>
      </c>
      <c r="HO43" s="707">
        <v>1665.986422902881</v>
      </c>
      <c r="HP43" s="708">
        <v>5418.3052687512009</v>
      </c>
      <c r="HQ43" s="777">
        <f t="shared" si="11"/>
        <v>3.2523105796445391</v>
      </c>
      <c r="HR43" s="1144">
        <v>1910.55120766199</v>
      </c>
      <c r="HS43" s="1144">
        <v>6176.6107952151297</v>
      </c>
      <c r="HT43" s="786">
        <f t="shared" si="12"/>
        <v>3.2328946591144603</v>
      </c>
      <c r="HV43" s="570" t="s">
        <v>565</v>
      </c>
      <c r="HW43" s="580">
        <v>435.25053600000001</v>
      </c>
      <c r="HX43" s="568">
        <v>2053.2381839999998</v>
      </c>
      <c r="HY43" s="788">
        <f t="shared" si="13"/>
        <v>4.7173708339787082</v>
      </c>
      <c r="HZ43" s="708">
        <v>1127.4220479999999</v>
      </c>
      <c r="IA43" s="708">
        <v>3129.5758310000001</v>
      </c>
      <c r="IB43" s="788">
        <f t="shared" si="14"/>
        <v>2.7758689273034336</v>
      </c>
      <c r="IC43" s="707">
        <v>484.43029253831259</v>
      </c>
      <c r="ID43" s="708">
        <v>2221.0891268637115</v>
      </c>
      <c r="IE43" s="788">
        <f t="shared" si="15"/>
        <v>4.5849509435623297</v>
      </c>
      <c r="IF43" s="708">
        <v>1174.2315971407393</v>
      </c>
      <c r="IG43" s="708">
        <v>3187.7988848854234</v>
      </c>
      <c r="IH43" s="777">
        <f t="shared" si="16"/>
        <v>2.7147956950296108</v>
      </c>
      <c r="II43" s="1137">
        <v>436.66451335181</v>
      </c>
      <c r="IJ43" s="1138">
        <v>2070.30439659697</v>
      </c>
      <c r="IK43" s="1170">
        <f t="shared" si="17"/>
        <v>4.7411784866726183</v>
      </c>
      <c r="IL43" s="1138">
        <v>1473.88669431018</v>
      </c>
      <c r="IM43" s="1138">
        <v>4106.3063986181596</v>
      </c>
      <c r="IN43" s="1171">
        <f t="shared" si="18"/>
        <v>2.7860393980556459</v>
      </c>
      <c r="IP43" s="570" t="s">
        <v>565</v>
      </c>
      <c r="IQ43" s="703">
        <v>105.11972799999999</v>
      </c>
      <c r="IR43" s="708">
        <v>389.66432700000001</v>
      </c>
      <c r="IS43" s="708">
        <v>440.56703700000003</v>
      </c>
      <c r="IT43" s="708">
        <v>349.98079300000001</v>
      </c>
      <c r="IU43" s="708">
        <v>281.09486299999998</v>
      </c>
      <c r="IV43" s="708">
        <v>5194.0765090000004</v>
      </c>
      <c r="IW43" s="707">
        <v>146.96307065842069</v>
      </c>
      <c r="IX43" s="708">
        <v>404.80025267614405</v>
      </c>
      <c r="IY43" s="708">
        <v>458.69755618479189</v>
      </c>
      <c r="IZ43" s="708">
        <v>350.01671185978967</v>
      </c>
      <c r="JA43" s="708">
        <v>305.50883152373467</v>
      </c>
      <c r="JB43" s="581">
        <v>5418.3052687512009</v>
      </c>
      <c r="JC43" s="1143">
        <v>136.22786211535501</v>
      </c>
      <c r="JD43" s="1144">
        <v>471.29010216823502</v>
      </c>
      <c r="JE43" s="1144">
        <v>601.64409504760499</v>
      </c>
      <c r="JF43" s="1144">
        <v>395.11263720868902</v>
      </c>
      <c r="JG43" s="1144">
        <v>306.27651112210702</v>
      </c>
      <c r="JH43" s="1145">
        <v>6176.6107952151297</v>
      </c>
      <c r="JJ43" s="570" t="s">
        <v>565</v>
      </c>
      <c r="JK43" s="580">
        <v>702.37938299999996</v>
      </c>
      <c r="JL43" s="568">
        <v>662.93451400000004</v>
      </c>
      <c r="JM43" s="568">
        <v>195.98664099999999</v>
      </c>
      <c r="JN43" s="581">
        <v>5.1262109999999996</v>
      </c>
      <c r="JO43" s="703">
        <v>619.93606272389957</v>
      </c>
      <c r="JP43" s="704">
        <v>561.19165277658078</v>
      </c>
      <c r="JQ43" s="704">
        <v>467.68170274071269</v>
      </c>
      <c r="JR43" s="173">
        <v>17.177004661687999</v>
      </c>
      <c r="JS43" s="1137">
        <v>867.50662406131505</v>
      </c>
      <c r="JT43" s="1138">
        <v>670.26987027732605</v>
      </c>
      <c r="JU43" s="1138">
        <v>358.863954558714</v>
      </c>
      <c r="JV43" s="1139">
        <v>13.910758764632099</v>
      </c>
      <c r="JX43" s="570" t="s">
        <v>565</v>
      </c>
      <c r="JY43" s="703">
        <v>267.96179074597001</v>
      </c>
      <c r="JZ43" s="704">
        <v>657.85439964832403</v>
      </c>
      <c r="KA43" s="704">
        <v>410.128547170606</v>
      </c>
      <c r="KB43" s="173">
        <v>574.60647009708998</v>
      </c>
      <c r="KC43" s="603"/>
      <c r="KD43" s="570" t="s">
        <v>565</v>
      </c>
      <c r="KE43" s="707">
        <v>11.8964391958005</v>
      </c>
      <c r="KF43" s="708">
        <v>3.6043226588847199</v>
      </c>
      <c r="KG43" s="708">
        <v>387.65446424499498</v>
      </c>
      <c r="KH43" s="708">
        <v>268.79584393747399</v>
      </c>
      <c r="KI43" s="708">
        <v>445.825805197835</v>
      </c>
      <c r="KJ43" s="581">
        <v>305.50104669710601</v>
      </c>
      <c r="KK43" s="707">
        <v>50.364030407229897</v>
      </c>
      <c r="KL43" s="708">
        <v>70.179865939114507</v>
      </c>
      <c r="KM43" s="708">
        <v>115.908805136098</v>
      </c>
      <c r="KN43" s="708">
        <v>113.812971899548</v>
      </c>
      <c r="KO43" s="708">
        <v>54.266882782051603</v>
      </c>
      <c r="KP43" s="581">
        <v>32.131957187767803</v>
      </c>
      <c r="KQ43" s="707">
        <v>62.260469603030302</v>
      </c>
      <c r="KR43" s="708">
        <v>73.784188597999204</v>
      </c>
      <c r="KS43" s="708">
        <v>503.56326938109402</v>
      </c>
      <c r="KT43" s="708">
        <v>382.60881583702201</v>
      </c>
      <c r="KU43" s="708">
        <v>500.09268797988699</v>
      </c>
      <c r="KV43" s="581">
        <v>337.63300388487397</v>
      </c>
      <c r="KW43" s="429"/>
      <c r="KX43" s="570" t="s">
        <v>565</v>
      </c>
      <c r="KY43" s="580">
        <f t="shared" si="35"/>
        <v>259.16873200000009</v>
      </c>
      <c r="KZ43" s="568">
        <v>947.10968300000002</v>
      </c>
      <c r="LA43" s="581">
        <v>360.14833299999998</v>
      </c>
      <c r="LB43" s="580">
        <f t="shared" si="36"/>
        <v>320.74671378060521</v>
      </c>
      <c r="LC43" s="704">
        <v>971.44720057612403</v>
      </c>
      <c r="LD43" s="173">
        <v>373.79250854615185</v>
      </c>
      <c r="LE43" s="580">
        <f t="shared" si="37"/>
        <v>369.79546802069103</v>
      </c>
      <c r="LF43" s="1144">
        <v>1190.1651664378001</v>
      </c>
      <c r="LG43" s="1145">
        <v>350.59057320349899</v>
      </c>
      <c r="LH43" s="426"/>
      <c r="LI43" s="570" t="s">
        <v>565</v>
      </c>
      <c r="LJ43" s="703">
        <v>1483.5453520000001</v>
      </c>
      <c r="LK43" s="704">
        <v>1386.679748</v>
      </c>
      <c r="LL43" s="704">
        <v>96.865604000000005</v>
      </c>
      <c r="LM43" s="704">
        <v>173.67640700000001</v>
      </c>
      <c r="LN43" s="704">
        <v>140.116165</v>
      </c>
      <c r="LO43" s="173">
        <v>85.875230999999999</v>
      </c>
      <c r="LP43" s="703">
        <v>1785.7401573569466</v>
      </c>
      <c r="LQ43" s="704">
        <v>1560.2229446021836</v>
      </c>
      <c r="LR43" s="704">
        <v>225.51721275476291</v>
      </c>
      <c r="LS43" s="704">
        <v>258.54252714388895</v>
      </c>
      <c r="LT43" s="704">
        <v>78.913026948455041</v>
      </c>
      <c r="LU43" s="173">
        <v>185.83448872070804</v>
      </c>
      <c r="LV43" s="1137">
        <v>1839.50914453117</v>
      </c>
      <c r="LW43" s="1138">
        <v>1581.0982301347899</v>
      </c>
      <c r="LX43" s="1138">
        <v>258.41091439638097</v>
      </c>
      <c r="LY43" s="1138">
        <v>245.10079502699301</v>
      </c>
      <c r="LZ43" s="1138">
        <v>79.727326023855397</v>
      </c>
      <c r="MA43" s="1139">
        <v>165.81630559775999</v>
      </c>
      <c r="MC43" s="570" t="s">
        <v>565</v>
      </c>
      <c r="MD43" s="703">
        <v>0</v>
      </c>
      <c r="ME43" s="704">
        <v>33.747641000000002</v>
      </c>
      <c r="MF43" s="704">
        <v>291.82363500000002</v>
      </c>
      <c r="MG43" s="704">
        <v>428.210442</v>
      </c>
      <c r="MH43" s="704">
        <v>392.313244</v>
      </c>
      <c r="MI43" s="173">
        <v>239.58478700000001</v>
      </c>
      <c r="MJ43" s="703">
        <v>0</v>
      </c>
      <c r="MK43" s="704">
        <v>53.984217888944677</v>
      </c>
      <c r="ML43" s="704">
        <v>258.87600670276402</v>
      </c>
      <c r="MM43" s="704">
        <v>458.61790609914902</v>
      </c>
      <c r="MN43" s="704">
        <v>455.99669013960863</v>
      </c>
      <c r="MO43" s="173">
        <v>332.74812377171725</v>
      </c>
      <c r="MP43" s="1137">
        <v>0</v>
      </c>
      <c r="MQ43" s="1138">
        <v>56.829658143994699</v>
      </c>
      <c r="MR43" s="1138">
        <v>249.035717468332</v>
      </c>
      <c r="MS43" s="1138">
        <v>511.40770102784097</v>
      </c>
      <c r="MT43" s="1138">
        <v>456.48296914977999</v>
      </c>
      <c r="MU43" s="1139">
        <v>300.34217723714801</v>
      </c>
      <c r="MW43" s="570" t="s">
        <v>565</v>
      </c>
      <c r="MX43" s="580">
        <v>1395.7546070000001</v>
      </c>
      <c r="MY43" s="568">
        <v>1304.200998</v>
      </c>
      <c r="MZ43" s="568">
        <v>91.553608999999994</v>
      </c>
      <c r="NA43" s="707">
        <v>1583.263724953358</v>
      </c>
      <c r="NB43" s="708">
        <v>1482.9147926261735</v>
      </c>
      <c r="NC43" s="581">
        <v>100.3489323271842</v>
      </c>
      <c r="ND43" s="1143">
        <v>1612.9541612609601</v>
      </c>
      <c r="NE43" s="1144">
        <v>1489.09959755762</v>
      </c>
      <c r="NF43" s="1145">
        <v>123.85456370333399</v>
      </c>
      <c r="NH43" s="570" t="s">
        <v>565</v>
      </c>
      <c r="NI43" s="707">
        <v>1249.239416987386</v>
      </c>
      <c r="NJ43" s="581">
        <v>233.67537563878784</v>
      </c>
      <c r="NK43" s="707">
        <v>57.720917725966252</v>
      </c>
      <c r="NL43" s="708">
        <v>38.006855894183182</v>
      </c>
      <c r="NM43" s="581">
        <v>4.6211587070347599</v>
      </c>
      <c r="NN43" s="1143">
        <v>1178.62818540835</v>
      </c>
      <c r="NO43" s="1145">
        <v>310.47141214927393</v>
      </c>
      <c r="NP43" s="1143">
        <v>78.961143428042803</v>
      </c>
      <c r="NQ43" s="1144">
        <v>41.264243036613202</v>
      </c>
      <c r="NR43" s="1145">
        <v>3.6291772386779</v>
      </c>
      <c r="NS43" s="136"/>
      <c r="NT43" s="570" t="s">
        <v>565</v>
      </c>
      <c r="NU43" s="703">
        <v>152.08570327381966</v>
      </c>
      <c r="NV43" s="704">
        <v>25.93466628977739</v>
      </c>
      <c r="NW43" s="704">
        <v>1.0463618891184701</v>
      </c>
      <c r="NX43" s="173">
        <v>54.608644186072318</v>
      </c>
      <c r="NY43" s="1137">
        <v>185.00291226379201</v>
      </c>
      <c r="NZ43" s="1138">
        <v>57.887539878479998</v>
      </c>
      <c r="OA43" s="1138">
        <v>19.123670012638598</v>
      </c>
      <c r="OB43" s="1139">
        <v>48.4572899943633</v>
      </c>
      <c r="OC43" s="553"/>
      <c r="OD43" s="570" t="s">
        <v>565</v>
      </c>
      <c r="OE43" s="703">
        <v>73.248843963105898</v>
      </c>
      <c r="OF43" s="704">
        <v>120.400894575499</v>
      </c>
      <c r="OG43" s="704">
        <v>110.031846998042</v>
      </c>
      <c r="OH43" s="704">
        <v>109.50909021565199</v>
      </c>
      <c r="OI43" s="704">
        <v>176.35944532272401</v>
      </c>
      <c r="OJ43" s="704">
        <v>36.135366481449999</v>
      </c>
      <c r="OK43" s="173">
        <v>25.9970918162008</v>
      </c>
      <c r="OL43" s="703">
        <v>95.821971888984606</v>
      </c>
      <c r="OM43" s="704">
        <v>134.88504600003901</v>
      </c>
      <c r="ON43" s="704">
        <v>120.34123819736401</v>
      </c>
      <c r="OO43" s="704">
        <v>121.327895202731</v>
      </c>
      <c r="OP43" s="704">
        <v>427.741137086528</v>
      </c>
      <c r="OQ43" s="704">
        <v>352.917548268556</v>
      </c>
      <c r="OR43" s="173">
        <v>2248.2790719081199</v>
      </c>
      <c r="OT43" s="570" t="s">
        <v>565</v>
      </c>
      <c r="OU43" s="580">
        <v>736.65698500000008</v>
      </c>
      <c r="OV43" s="568">
        <v>428.73265500000002</v>
      </c>
      <c r="OW43" s="568">
        <v>405.86709500000001</v>
      </c>
      <c r="OX43" s="581">
        <v>711.39006500000005</v>
      </c>
      <c r="OY43" s="703">
        <v>759.45682492128333</v>
      </c>
      <c r="OZ43" s="704">
        <v>530.54000387153792</v>
      </c>
      <c r="PA43" s="704">
        <v>447.96639701899511</v>
      </c>
      <c r="PB43" s="173">
        <v>824.40173176792848</v>
      </c>
      <c r="PC43" s="1137">
        <v>732.84731533735601</v>
      </c>
      <c r="PD43" s="1138">
        <v>577.18397668142495</v>
      </c>
      <c r="PE43" s="1138">
        <v>415.92350853099902</v>
      </c>
      <c r="PF43" s="1139">
        <v>1076.3098580801261</v>
      </c>
      <c r="PH43" s="570" t="s">
        <v>565</v>
      </c>
      <c r="PI43" s="707">
        <v>255.9683257763534</v>
      </c>
      <c r="PJ43" s="708">
        <v>297.25071198681599</v>
      </c>
      <c r="PK43" s="708">
        <v>209.64385107928899</v>
      </c>
      <c r="PL43" s="581">
        <v>440.00223338301601</v>
      </c>
      <c r="PM43" s="707">
        <v>476.87898956100099</v>
      </c>
      <c r="PN43" s="708">
        <v>279.93326469460902</v>
      </c>
      <c r="PO43" s="708">
        <v>206.27965745171099</v>
      </c>
      <c r="PP43" s="581">
        <v>636.30762469710999</v>
      </c>
      <c r="PQ43" s="65"/>
      <c r="PR43" s="570" t="s">
        <v>565</v>
      </c>
      <c r="PS43" s="1044">
        <v>32.608575583339103</v>
      </c>
      <c r="PT43" s="1045">
        <v>61.971179336804603</v>
      </c>
      <c r="PU43" s="1045">
        <v>50.731671474524298</v>
      </c>
      <c r="PV43" s="1045">
        <v>8.2921165369157599</v>
      </c>
      <c r="PW43" s="1039">
        <v>1007.8658268338</v>
      </c>
      <c r="PX43" s="1040">
        <v>444.484784387883</v>
      </c>
      <c r="PZ43" s="570" t="s">
        <v>565</v>
      </c>
      <c r="QA43" s="1044">
        <v>1026.0481391007099</v>
      </c>
      <c r="QB43" s="1045">
        <v>586.90602216024604</v>
      </c>
      <c r="QC43" s="1045">
        <v>520.94797674443498</v>
      </c>
      <c r="QD43" s="1045">
        <v>25.6318461645239</v>
      </c>
      <c r="QE43" s="1045">
        <v>40.326199251287299</v>
      </c>
      <c r="QF43" s="1046">
        <v>0</v>
      </c>
    </row>
    <row r="44" spans="1:448" ht="13.5" customHeight="1">
      <c r="A44" s="593" t="s">
        <v>509</v>
      </c>
      <c r="B44" s="559" t="s">
        <v>566</v>
      </c>
      <c r="C44" s="1103">
        <v>3349.7799850000001</v>
      </c>
      <c r="D44" s="690">
        <v>4105.3595601020188</v>
      </c>
      <c r="E44" s="691">
        <v>6410.8076816666398</v>
      </c>
      <c r="F44" s="428"/>
      <c r="G44" s="563" t="s">
        <v>566</v>
      </c>
      <c r="H44" s="686">
        <f t="shared" si="5"/>
        <v>4.1518487555865624E-2</v>
      </c>
      <c r="I44" s="668">
        <f t="shared" si="6"/>
        <v>9.3231935282773071E-2</v>
      </c>
      <c r="J44" s="612"/>
      <c r="K44" s="63"/>
      <c r="L44" s="559" t="s">
        <v>566</v>
      </c>
      <c r="M44" s="636">
        <v>59</v>
      </c>
      <c r="N44" s="637">
        <v>58</v>
      </c>
      <c r="O44" s="637">
        <v>62</v>
      </c>
      <c r="P44" s="637">
        <v>67</v>
      </c>
      <c r="Q44" s="637">
        <v>78</v>
      </c>
      <c r="R44" s="637">
        <v>85</v>
      </c>
      <c r="S44" s="637">
        <v>91</v>
      </c>
      <c r="T44" s="637">
        <v>86</v>
      </c>
      <c r="U44" s="1138">
        <v>107</v>
      </c>
      <c r="V44" s="1138">
        <v>77</v>
      </c>
      <c r="W44" s="1139">
        <v>66</v>
      </c>
      <c r="X44" s="563" t="s">
        <v>566</v>
      </c>
      <c r="Y44" s="666">
        <v>58.5</v>
      </c>
      <c r="Z44" s="667">
        <v>64.5</v>
      </c>
      <c r="AA44" s="667">
        <v>81.5</v>
      </c>
      <c r="AB44" s="667">
        <v>88.5</v>
      </c>
      <c r="AC44" s="667">
        <v>88.5</v>
      </c>
      <c r="AD44" s="668">
        <v>0.10256410256410256</v>
      </c>
      <c r="AE44" s="668">
        <v>0.26356589147286824</v>
      </c>
      <c r="AF44" s="668">
        <v>8.5889570552147243E-2</v>
      </c>
      <c r="AG44" s="1213">
        <v>0.26356589147286824</v>
      </c>
      <c r="AN44" s="563" t="s">
        <v>566</v>
      </c>
      <c r="AO44" s="636">
        <v>4.5737249999999996</v>
      </c>
      <c r="AP44" s="637">
        <v>69.496868000000006</v>
      </c>
      <c r="AQ44" s="637">
        <v>214.002678</v>
      </c>
      <c r="AR44" s="637">
        <v>537.34920299999999</v>
      </c>
      <c r="AS44" s="637">
        <v>547.61764500000004</v>
      </c>
      <c r="AT44" s="637">
        <v>282.93160899999998</v>
      </c>
      <c r="AU44" s="637">
        <v>841.25218900000004</v>
      </c>
      <c r="AV44" s="173">
        <v>391.88989900000001</v>
      </c>
      <c r="AW44" s="636">
        <v>0</v>
      </c>
      <c r="AX44" s="637">
        <v>100.32645841383049</v>
      </c>
      <c r="AY44" s="637">
        <v>289.0717937386658</v>
      </c>
      <c r="AZ44" s="637">
        <v>648.6869872343666</v>
      </c>
      <c r="BA44" s="637">
        <v>636.889063212407</v>
      </c>
      <c r="BB44" s="637">
        <v>423.48220745281458</v>
      </c>
      <c r="BC44" s="637">
        <v>892.33566488413919</v>
      </c>
      <c r="BD44" s="173">
        <v>493.22650856076166</v>
      </c>
      <c r="BE44" s="1137">
        <v>0</v>
      </c>
      <c r="BF44" s="1138">
        <v>124.128162856101</v>
      </c>
      <c r="BG44" s="1138">
        <v>433.93842377669802</v>
      </c>
      <c r="BH44" s="1138">
        <v>1027.1864693623199</v>
      </c>
      <c r="BI44" s="1138">
        <v>1217.6622638779299</v>
      </c>
      <c r="BJ44" s="1138">
        <v>617.95695463675099</v>
      </c>
      <c r="BK44" s="1138">
        <v>998.69248446311406</v>
      </c>
      <c r="BL44" s="1139">
        <v>835.95500219140104</v>
      </c>
      <c r="BN44" s="563" t="s">
        <v>566</v>
      </c>
      <c r="BO44" s="647">
        <v>463.66616399999998</v>
      </c>
      <c r="BP44" s="648">
        <v>853.46968100000004</v>
      </c>
      <c r="BQ44" s="648">
        <v>662.66352199999994</v>
      </c>
      <c r="BR44" s="648">
        <v>508.74276700000001</v>
      </c>
      <c r="BS44" s="648">
        <v>460.38388200000003</v>
      </c>
      <c r="BT44" s="173">
        <v>400.85396900000001</v>
      </c>
      <c r="BU44" s="647">
        <v>636.34086488234175</v>
      </c>
      <c r="BV44" s="648">
        <v>1090.0967446179518</v>
      </c>
      <c r="BW44" s="648">
        <v>827.78279178959201</v>
      </c>
      <c r="BX44" s="648">
        <v>544.89730964875901</v>
      </c>
      <c r="BY44" s="648">
        <v>519.8359331795491</v>
      </c>
      <c r="BZ44" s="173">
        <v>486.4059159838248</v>
      </c>
      <c r="CA44" s="1137">
        <v>1148.2879133946301</v>
      </c>
      <c r="CB44" s="1138">
        <v>1827.45018710513</v>
      </c>
      <c r="CC44" s="1138">
        <v>1425.46449962626</v>
      </c>
      <c r="CD44" s="1138">
        <v>847.29395037484301</v>
      </c>
      <c r="CE44" s="1138">
        <v>663.03863149784695</v>
      </c>
      <c r="CF44" s="1139">
        <v>499.27249966794102</v>
      </c>
      <c r="CG44" s="429"/>
      <c r="CH44" s="563" t="s">
        <v>566</v>
      </c>
      <c r="CI44" s="172">
        <v>690.61020099999996</v>
      </c>
      <c r="CJ44" s="337">
        <v>1975.175293</v>
      </c>
      <c r="CK44" s="337">
        <v>683.99449200000004</v>
      </c>
      <c r="CL44" s="647">
        <v>907.2181835163484</v>
      </c>
      <c r="CM44" s="648">
        <v>2376.7051554076565</v>
      </c>
      <c r="CN44" s="648">
        <v>821.43622117801351</v>
      </c>
      <c r="CO44" s="1137">
        <v>1612.5792175711899</v>
      </c>
      <c r="CP44" s="1138">
        <v>3889.7466276063301</v>
      </c>
      <c r="CQ44" s="1139">
        <v>908.48183648911004</v>
      </c>
      <c r="CR44" s="429"/>
      <c r="CS44" s="231" t="s">
        <v>642</v>
      </c>
      <c r="CT44" s="241">
        <f t="shared" ref="CT44:CT49" si="38">0-(CT32/SUM($CT$32:$CT$37))</f>
        <v>-6.5105811379914905E-2</v>
      </c>
      <c r="CU44" s="236">
        <f t="shared" ref="CU44:CU49" si="39">CU32/SUM(CU$32:CU$37)</f>
        <v>7.1758163008696196E-2</v>
      </c>
      <c r="CV44" s="316">
        <f t="shared" ref="CV44:CV49" si="40">0-(CV32/SUM(CV$32:CV$37))</f>
        <v>-0.13837804408443874</v>
      </c>
      <c r="CW44" s="236">
        <f t="shared" ref="CW44:CW49" si="41">CW32/SUM(CW$32:CW$37)</f>
        <v>0.1360908181240236</v>
      </c>
      <c r="CX44" s="317">
        <f t="shared" ref="CX44:CX49" si="42">0-(CX32/SUM(CX$32:CX$37))</f>
        <v>-7.1653996075450088E-2</v>
      </c>
      <c r="CY44" s="236">
        <f t="shared" ref="CY44:CY49" si="43">CY32/SUM(CY$32:CY$37)</f>
        <v>7.1058135501140055E-2</v>
      </c>
      <c r="CZ44" s="316">
        <f t="shared" ref="CZ44:CZ49" si="44">0-(CZ32/SUM(CZ$32:CZ$37))</f>
        <v>-0.13655710998689213</v>
      </c>
      <c r="DA44" s="237">
        <f t="shared" ref="DA44:DA49" si="45">DA32/SUM(DA$32:DA$37)</f>
        <v>0.11908762257714486</v>
      </c>
      <c r="DB44" s="426"/>
      <c r="DC44" s="426"/>
      <c r="DD44" s="426"/>
      <c r="DE44" s="426"/>
      <c r="DG44" s="563" t="s">
        <v>566</v>
      </c>
      <c r="DH44" s="1147" t="s">
        <v>757</v>
      </c>
      <c r="DI44" s="1150" t="s">
        <v>931</v>
      </c>
      <c r="DJ44" s="704" t="s">
        <v>932</v>
      </c>
      <c r="DK44" s="704" t="s">
        <v>933</v>
      </c>
      <c r="DL44" s="337" t="s">
        <v>934</v>
      </c>
      <c r="DM44" s="174" t="s">
        <v>901</v>
      </c>
      <c r="DO44" s="559" t="s">
        <v>566</v>
      </c>
      <c r="DP44" s="704">
        <v>1678.6017750000001</v>
      </c>
      <c r="DQ44" s="337">
        <v>1994.5190104855376</v>
      </c>
      <c r="DR44" s="1139">
        <v>3210.2186977363799</v>
      </c>
      <c r="DS44" s="63"/>
      <c r="DT44" s="563" t="s">
        <v>566</v>
      </c>
      <c r="DU44" s="172">
        <v>3277.7800729999999</v>
      </c>
      <c r="DV44" s="337">
        <v>3914.35970937095</v>
      </c>
      <c r="DW44" s="1139">
        <v>6232.8075009281101</v>
      </c>
      <c r="DX44" s="63"/>
      <c r="DY44" s="563" t="s">
        <v>566</v>
      </c>
      <c r="DZ44" s="1089">
        <f t="shared" si="32"/>
        <v>1.9526847414420252</v>
      </c>
      <c r="EA44" s="787">
        <f t="shared" si="33"/>
        <v>1.9625582352399109</v>
      </c>
      <c r="EB44" s="776">
        <f t="shared" si="34"/>
        <v>1.9415523015061393</v>
      </c>
      <c r="ED44" s="541"/>
      <c r="EE44" s="563" t="s">
        <v>566</v>
      </c>
      <c r="EF44" s="735">
        <v>681.54318499999999</v>
      </c>
      <c r="EG44" s="736">
        <v>50.356116999999998</v>
      </c>
      <c r="EH44" s="736">
        <v>506.635717</v>
      </c>
      <c r="EI44" s="736">
        <v>316.18463500000001</v>
      </c>
      <c r="EJ44" s="736">
        <v>123.88212</v>
      </c>
      <c r="EK44" s="703">
        <v>846.93556642578687</v>
      </c>
      <c r="EL44" s="704">
        <v>38.030518797170942</v>
      </c>
      <c r="EM44" s="704">
        <v>574.35585510117232</v>
      </c>
      <c r="EN44" s="704">
        <v>377.15854869415409</v>
      </c>
      <c r="EO44" s="704">
        <v>158.0385214672537</v>
      </c>
      <c r="EP44" s="1137">
        <v>1478.1243406410199</v>
      </c>
      <c r="EQ44" s="1138">
        <v>72.214670604536295</v>
      </c>
      <c r="ER44" s="1138">
        <v>730.215330639885</v>
      </c>
      <c r="ES44" s="1138">
        <v>566.89610096308797</v>
      </c>
      <c r="ET44" s="1139">
        <v>362.76825488784698</v>
      </c>
      <c r="EV44" s="563" t="s">
        <v>566</v>
      </c>
      <c r="EW44" s="703">
        <v>35.45129</v>
      </c>
      <c r="EX44" s="704">
        <v>277.19656199999997</v>
      </c>
      <c r="EY44" s="704">
        <v>238.65204700000001</v>
      </c>
      <c r="EZ44" s="704">
        <v>131.24328600000001</v>
      </c>
      <c r="FA44" s="703">
        <v>390.89440100000002</v>
      </c>
      <c r="FB44" s="704">
        <v>1383.0877250000001</v>
      </c>
      <c r="FC44" s="704">
        <v>792.59097699999995</v>
      </c>
      <c r="FD44" s="704">
        <v>236.540819</v>
      </c>
      <c r="FE44" s="703">
        <v>110.17807070267186</v>
      </c>
      <c r="FF44" s="704">
        <v>346.01293014461419</v>
      </c>
      <c r="FG44" s="704">
        <v>230.87819447163605</v>
      </c>
      <c r="FH44" s="173">
        <v>158.86637188837756</v>
      </c>
      <c r="FI44" s="703">
        <v>578.49193681849272</v>
      </c>
      <c r="FJ44" s="704">
        <v>1601.3678251957522</v>
      </c>
      <c r="FK44" s="746">
        <v>787.04114052768693</v>
      </c>
      <c r="FL44" s="747">
        <v>303.11794819877849</v>
      </c>
      <c r="FM44" s="1137">
        <v>219.27438335161199</v>
      </c>
      <c r="FN44" s="1138">
        <v>722.44982998429202</v>
      </c>
      <c r="FO44" s="1138">
        <v>369.25416443881898</v>
      </c>
      <c r="FP44" s="1139">
        <v>168.14596388168101</v>
      </c>
      <c r="FQ44" s="1137">
        <v>985.84618782410803</v>
      </c>
      <c r="FR44" s="1138">
        <v>2794.8187261463199</v>
      </c>
      <c r="FS44" s="1138">
        <v>1010.97164545008</v>
      </c>
      <c r="FT44" s="1139">
        <v>294.88303014373702</v>
      </c>
      <c r="FV44" s="559" t="s">
        <v>566</v>
      </c>
      <c r="FW44" s="337">
        <v>542.24631599999998</v>
      </c>
      <c r="FX44" s="337">
        <v>243.41574399999999</v>
      </c>
      <c r="FY44" s="337">
        <v>102.394696</v>
      </c>
      <c r="FZ44" s="173">
        <v>62.147935000000004</v>
      </c>
      <c r="GA44" s="703">
        <v>597.79369370398592</v>
      </c>
      <c r="GB44" s="704">
        <v>275.54142842208489</v>
      </c>
      <c r="GC44" s="704">
        <v>160.89800606505045</v>
      </c>
      <c r="GD44" s="173">
        <v>76.334550615740142</v>
      </c>
      <c r="GE44" s="1137">
        <v>795.745433176137</v>
      </c>
      <c r="GF44" s="1138">
        <v>429.380445593172</v>
      </c>
      <c r="GG44" s="1138">
        <v>307.92805015882197</v>
      </c>
      <c r="GH44" s="1139">
        <v>134.12431308026811</v>
      </c>
      <c r="GJ44" s="563" t="s">
        <v>566</v>
      </c>
      <c r="GK44" s="703">
        <v>1821.9979530000001</v>
      </c>
      <c r="GL44" s="704">
        <v>2252.498445164345</v>
      </c>
      <c r="GM44" s="1139">
        <v>3560.0032606200498</v>
      </c>
      <c r="GO44" s="563" t="s">
        <v>566</v>
      </c>
      <c r="GP44" s="703">
        <v>1677.601776</v>
      </c>
      <c r="GQ44" s="704">
        <v>16.648844</v>
      </c>
      <c r="GR44" s="173">
        <v>127.747333</v>
      </c>
      <c r="GS44" s="703">
        <v>1989.5190143931011</v>
      </c>
      <c r="GT44" s="704">
        <v>11.328364311857541</v>
      </c>
      <c r="GU44" s="173">
        <v>251.65106645938559</v>
      </c>
      <c r="GV44" s="1137">
        <v>3211.2186987517598</v>
      </c>
      <c r="GW44" s="1138">
        <v>55.168189913285602</v>
      </c>
      <c r="GX44" s="1139">
        <v>293.61637195499998</v>
      </c>
      <c r="GZ44" s="563" t="s">
        <v>566</v>
      </c>
      <c r="HA44" s="703">
        <v>831.40322200000003</v>
      </c>
      <c r="HB44" s="704">
        <v>990.59473100000002</v>
      </c>
      <c r="HC44" s="173">
        <f t="shared" si="7"/>
        <v>0</v>
      </c>
      <c r="HD44" s="703">
        <v>789.61835681736443</v>
      </c>
      <c r="HE44" s="704">
        <v>1462.8800883469803</v>
      </c>
      <c r="HF44" s="173">
        <f t="shared" si="8"/>
        <v>0</v>
      </c>
      <c r="HG44" s="583">
        <v>882.17020421162601</v>
      </c>
      <c r="HH44" s="1138">
        <v>2677.8330564084199</v>
      </c>
      <c r="HI44" s="173">
        <f t="shared" si="9"/>
        <v>4.0927261579781771E-12</v>
      </c>
      <c r="HK44" s="563" t="s">
        <v>566</v>
      </c>
      <c r="HL44" s="704">
        <v>1677.601776</v>
      </c>
      <c r="HM44" s="704">
        <v>6350.7022459999998</v>
      </c>
      <c r="HN44" s="776">
        <f t="shared" si="10"/>
        <v>3.785583883406666</v>
      </c>
      <c r="HO44" s="703">
        <v>1989.5190143931011</v>
      </c>
      <c r="HP44" s="704">
        <v>7149.7689941410599</v>
      </c>
      <c r="HQ44" s="776">
        <f t="shared" si="11"/>
        <v>3.5937173469649313</v>
      </c>
      <c r="HR44" s="1138">
        <v>3211.2186987517598</v>
      </c>
      <c r="HS44" s="1138">
        <v>10666.892207761701</v>
      </c>
      <c r="HT44" s="784">
        <f t="shared" si="12"/>
        <v>3.3217582508186232</v>
      </c>
      <c r="HV44" s="563" t="s">
        <v>566</v>
      </c>
      <c r="HW44" s="172">
        <v>791.38471900000002</v>
      </c>
      <c r="HX44" s="337">
        <v>3530.7226190000001</v>
      </c>
      <c r="HY44" s="787">
        <f t="shared" si="13"/>
        <v>4.4614490705120629</v>
      </c>
      <c r="HZ44" s="704">
        <v>886.21705699999995</v>
      </c>
      <c r="IA44" s="704">
        <v>2819.9796259999998</v>
      </c>
      <c r="IB44" s="787">
        <f t="shared" si="14"/>
        <v>3.1820416947808758</v>
      </c>
      <c r="IC44" s="703">
        <v>736.50363351696149</v>
      </c>
      <c r="ID44" s="704">
        <v>3321.0777026477231</v>
      </c>
      <c r="IE44" s="787">
        <f t="shared" si="15"/>
        <v>4.5092482256860986</v>
      </c>
      <c r="IF44" s="704">
        <v>1253.0153808761402</v>
      </c>
      <c r="IG44" s="704">
        <v>3828.6912914933368</v>
      </c>
      <c r="IH44" s="776">
        <f t="shared" si="16"/>
        <v>3.0555820382797045</v>
      </c>
      <c r="II44" s="1137">
        <v>829.22745912909204</v>
      </c>
      <c r="IJ44" s="1138">
        <v>3718.3085002205798</v>
      </c>
      <c r="IK44" s="1170">
        <f t="shared" si="17"/>
        <v>4.4840634005605491</v>
      </c>
      <c r="IL44" s="1138">
        <v>2381.99123962267</v>
      </c>
      <c r="IM44" s="1138">
        <v>6948.58370754113</v>
      </c>
      <c r="IN44" s="1171">
        <f t="shared" si="18"/>
        <v>2.9171323521080001</v>
      </c>
      <c r="IP44" s="563" t="s">
        <v>566</v>
      </c>
      <c r="IQ44" s="172">
        <v>22.439167000000001</v>
      </c>
      <c r="IR44" s="704">
        <v>143.818332</v>
      </c>
      <c r="IS44" s="704">
        <v>562.09161700000004</v>
      </c>
      <c r="IT44" s="704">
        <v>564.09378700000002</v>
      </c>
      <c r="IU44" s="704">
        <v>385.15887400000003</v>
      </c>
      <c r="IV44" s="704">
        <v>6350.7022459999998</v>
      </c>
      <c r="IW44" s="703">
        <v>53.010026383623703</v>
      </c>
      <c r="IX44" s="704">
        <v>314.35682896174387</v>
      </c>
      <c r="IY44" s="704">
        <v>637.52202436758159</v>
      </c>
      <c r="IZ44" s="704">
        <v>565.88132253173967</v>
      </c>
      <c r="JA44" s="704">
        <v>418.74881214841281</v>
      </c>
      <c r="JB44" s="173">
        <v>7149.7689941410599</v>
      </c>
      <c r="JC44" s="1137">
        <v>119.470029156085</v>
      </c>
      <c r="JD44" s="1138">
        <v>726.48554320155404</v>
      </c>
      <c r="JE44" s="1138">
        <v>1088.6229926715901</v>
      </c>
      <c r="JF44" s="1138">
        <v>786.03172753903095</v>
      </c>
      <c r="JG44" s="1138">
        <v>490.60840618350198</v>
      </c>
      <c r="JH44" s="1139">
        <v>10666.892207761701</v>
      </c>
      <c r="JJ44" s="563" t="s">
        <v>566</v>
      </c>
      <c r="JK44" s="172">
        <v>982.29580199999998</v>
      </c>
      <c r="JL44" s="337">
        <v>612.95585000000005</v>
      </c>
      <c r="JM44" s="337">
        <v>69.212046000000001</v>
      </c>
      <c r="JN44" s="173">
        <v>13.138078</v>
      </c>
      <c r="JO44" s="703">
        <v>999.43619314992679</v>
      </c>
      <c r="JP44" s="704">
        <v>589.9014042793724</v>
      </c>
      <c r="JQ44" s="704">
        <v>379.39142042252843</v>
      </c>
      <c r="JR44" s="173">
        <v>20.789996541273812</v>
      </c>
      <c r="JS44" s="1137">
        <v>1191.9185910261899</v>
      </c>
      <c r="JT44" s="1138">
        <v>1210.0142110045661</v>
      </c>
      <c r="JU44" s="1138">
        <v>764.20344239899396</v>
      </c>
      <c r="JV44" s="1139">
        <v>45.0824543220129</v>
      </c>
      <c r="JX44" s="563" t="s">
        <v>566</v>
      </c>
      <c r="JY44" s="703">
        <v>711.16336916530599</v>
      </c>
      <c r="JZ44" s="704">
        <v>1181.9250826538801</v>
      </c>
      <c r="KA44" s="704">
        <v>627.46427845404901</v>
      </c>
      <c r="KB44" s="173">
        <v>690.66596847852804</v>
      </c>
      <c r="KC44" s="603"/>
      <c r="KD44" s="563" t="s">
        <v>566</v>
      </c>
      <c r="KE44" s="703">
        <v>5.9364869670030398</v>
      </c>
      <c r="KF44" s="704">
        <v>12.537458708596301</v>
      </c>
      <c r="KG44" s="704">
        <v>381.76985980208701</v>
      </c>
      <c r="KH44" s="704">
        <v>222.64275396347799</v>
      </c>
      <c r="KI44" s="704">
        <v>263.17160533070899</v>
      </c>
      <c r="KJ44" s="173">
        <v>1339.57177664302</v>
      </c>
      <c r="KK44" s="703">
        <v>31.6133891491877</v>
      </c>
      <c r="KL44" s="704">
        <v>38.427414563304097</v>
      </c>
      <c r="KM44" s="704">
        <v>356.52428434183702</v>
      </c>
      <c r="KN44" s="704">
        <v>177.71931238440499</v>
      </c>
      <c r="KO44" s="704">
        <v>114.00526436487399</v>
      </c>
      <c r="KP44" s="173">
        <v>102.342090826012</v>
      </c>
      <c r="KQ44" s="703">
        <v>37.549876116190802</v>
      </c>
      <c r="KR44" s="704">
        <v>50.964873271900402</v>
      </c>
      <c r="KS44" s="704">
        <v>738.29414414392397</v>
      </c>
      <c r="KT44" s="704">
        <v>400.362066347883</v>
      </c>
      <c r="KU44" s="704">
        <v>377.176869695584</v>
      </c>
      <c r="KV44" s="173">
        <v>1441.91386746903</v>
      </c>
      <c r="KW44" s="429"/>
      <c r="KX44" s="563" t="s">
        <v>566</v>
      </c>
      <c r="KY44" s="172">
        <f t="shared" si="35"/>
        <v>247.78075900000022</v>
      </c>
      <c r="KZ44" s="337">
        <v>941.42192399999999</v>
      </c>
      <c r="LA44" s="173">
        <v>489.399092</v>
      </c>
      <c r="LB44" s="172">
        <f t="shared" si="36"/>
        <v>303.59948385476173</v>
      </c>
      <c r="LC44" s="704">
        <v>1273.1973517692113</v>
      </c>
      <c r="LD44" s="173">
        <v>417.72217486156461</v>
      </c>
      <c r="LE44" s="172">
        <f t="shared" si="37"/>
        <v>586.20177864631205</v>
      </c>
      <c r="LF44" s="1138">
        <v>1917.96137972529</v>
      </c>
      <c r="LG44" s="1139">
        <v>706.05553936477804</v>
      </c>
      <c r="LH44" s="426"/>
      <c r="LI44" s="563" t="s">
        <v>566</v>
      </c>
      <c r="LJ44" s="172">
        <v>1646.688956</v>
      </c>
      <c r="LK44" s="337">
        <v>1513.211626</v>
      </c>
      <c r="LL44" s="337">
        <v>133.47732999999999</v>
      </c>
      <c r="LM44" s="337">
        <v>259.50526600000001</v>
      </c>
      <c r="LN44" s="337">
        <v>185.57440500000001</v>
      </c>
      <c r="LO44" s="173">
        <v>110.350703</v>
      </c>
      <c r="LP44" s="703">
        <v>2090.2229795930084</v>
      </c>
      <c r="LQ44" s="704">
        <v>1808.1714013094688</v>
      </c>
      <c r="LR44" s="704">
        <v>282.05157828353987</v>
      </c>
      <c r="LS44" s="704">
        <v>288.98827922674252</v>
      </c>
      <c r="LT44" s="704">
        <v>145.77063783437328</v>
      </c>
      <c r="LU44" s="173">
        <v>122.60057738753898</v>
      </c>
      <c r="LV44" s="1137">
        <v>3480.76289275301</v>
      </c>
      <c r="LW44" s="1138">
        <v>2929.4431471848602</v>
      </c>
      <c r="LX44" s="1138">
        <v>551.31974556814498</v>
      </c>
      <c r="LY44" s="1138">
        <v>448.09965453181701</v>
      </c>
      <c r="LZ44" s="1138">
        <v>168.78029148052099</v>
      </c>
      <c r="MA44" s="1139">
        <v>256.395093017558</v>
      </c>
      <c r="MC44" s="563" t="s">
        <v>566</v>
      </c>
      <c r="MD44" s="172">
        <v>4.5737249999999996</v>
      </c>
      <c r="ME44" s="337">
        <v>54.297775999999999</v>
      </c>
      <c r="MF44" s="337">
        <v>201.459067</v>
      </c>
      <c r="MG44" s="337">
        <v>504.670323</v>
      </c>
      <c r="MH44" s="337">
        <v>506.16870599999999</v>
      </c>
      <c r="MI44" s="173">
        <v>246.042023</v>
      </c>
      <c r="MJ44" s="703">
        <v>0</v>
      </c>
      <c r="MK44" s="704">
        <v>89.120125403785892</v>
      </c>
      <c r="ML44" s="704">
        <v>278.79229851893962</v>
      </c>
      <c r="MM44" s="704">
        <v>569.58280167449129</v>
      </c>
      <c r="MN44" s="704">
        <v>519.74656751494433</v>
      </c>
      <c r="MO44" s="173">
        <v>366.92959569310352</v>
      </c>
      <c r="MP44" s="1137">
        <v>0</v>
      </c>
      <c r="MQ44" s="1138">
        <v>108.64051021633701</v>
      </c>
      <c r="MR44" s="1138">
        <v>403.03347945254598</v>
      </c>
      <c r="MS44" s="1138">
        <v>890.67180491923295</v>
      </c>
      <c r="MT44" s="1138">
        <v>1035.5399992840401</v>
      </c>
      <c r="MU44" s="1139">
        <v>494.55735635885799</v>
      </c>
      <c r="MW44" s="563" t="s">
        <v>566</v>
      </c>
      <c r="MX44" s="172">
        <v>1528.0359639999999</v>
      </c>
      <c r="MY44" s="337">
        <v>1404.6132950000001</v>
      </c>
      <c r="MZ44" s="337">
        <v>123.422669</v>
      </c>
      <c r="NA44" s="703">
        <v>1837.1538518359823</v>
      </c>
      <c r="NB44" s="704">
        <v>1690.0114667485554</v>
      </c>
      <c r="NC44" s="173">
        <v>147.1423850874271</v>
      </c>
      <c r="ND44" s="1137">
        <v>2953.4030817255798</v>
      </c>
      <c r="NE44" s="1138">
        <v>2779.2223879054</v>
      </c>
      <c r="NF44" s="1139">
        <v>174.18069382017899</v>
      </c>
      <c r="NH44" s="563" t="s">
        <v>566</v>
      </c>
      <c r="NI44" s="703">
        <v>1399.3938074435334</v>
      </c>
      <c r="NJ44" s="173">
        <v>290.6176593050219</v>
      </c>
      <c r="NK44" s="703">
        <v>75.655866670662263</v>
      </c>
      <c r="NL44" s="704">
        <v>65.019973631395715</v>
      </c>
      <c r="NM44" s="173">
        <v>6.4665447853691296</v>
      </c>
      <c r="NN44" s="1137">
        <v>2292.8049655145401</v>
      </c>
      <c r="NO44" s="1139">
        <v>486.41742239085738</v>
      </c>
      <c r="NP44" s="1137">
        <v>109.51642805564499</v>
      </c>
      <c r="NQ44" s="1138">
        <v>63.5898028271003</v>
      </c>
      <c r="NR44" s="1139">
        <v>1.0744629374340799</v>
      </c>
      <c r="NS44" s="136"/>
      <c r="NT44" s="563" t="s">
        <v>566</v>
      </c>
      <c r="NU44" s="703">
        <v>178.85163874649407</v>
      </c>
      <c r="NV44" s="704">
        <v>43.057830199878893</v>
      </c>
      <c r="NW44" s="704">
        <v>8.8740753936129</v>
      </c>
      <c r="NX44" s="173">
        <v>59.834114965036029</v>
      </c>
      <c r="NY44" s="1137">
        <v>273.000325798338</v>
      </c>
      <c r="NZ44" s="1138">
        <v>80.386253740986206</v>
      </c>
      <c r="OA44" s="1138">
        <v>17.980698562831201</v>
      </c>
      <c r="OB44" s="1139">
        <v>115.050144288702</v>
      </c>
      <c r="OC44" s="553"/>
      <c r="OD44" s="563" t="s">
        <v>566</v>
      </c>
      <c r="OE44" s="703">
        <v>220.647056916509</v>
      </c>
      <c r="OF44" s="704">
        <v>408.45802568151998</v>
      </c>
      <c r="OG44" s="704">
        <v>268.34776866695898</v>
      </c>
      <c r="OH44" s="704">
        <v>179.66778728303899</v>
      </c>
      <c r="OI44" s="704">
        <v>415.41115003481201</v>
      </c>
      <c r="OJ44" s="704">
        <v>53.876114081378297</v>
      </c>
      <c r="OK44" s="173">
        <v>34.752201112433099</v>
      </c>
      <c r="OL44" s="703">
        <v>290.93100634271298</v>
      </c>
      <c r="OM44" s="704">
        <v>416.54343852339099</v>
      </c>
      <c r="ON44" s="704">
        <v>276.72078712197299</v>
      </c>
      <c r="OO44" s="704">
        <v>185.04010197020901</v>
      </c>
      <c r="OP44" s="704">
        <v>890.80617723855096</v>
      </c>
      <c r="OQ44" s="704">
        <v>751.60390789636597</v>
      </c>
      <c r="OR44" s="173">
        <v>3435.0695811668902</v>
      </c>
      <c r="OT44" s="563" t="s">
        <v>566</v>
      </c>
      <c r="OU44" s="172">
        <v>820.51086899999996</v>
      </c>
      <c r="OV44" s="337">
        <v>558.79717000000005</v>
      </c>
      <c r="OW44" s="337">
        <v>524.47896400000002</v>
      </c>
      <c r="OX44" s="173">
        <v>647.07552599999997</v>
      </c>
      <c r="OY44" s="703">
        <v>905.74607765649057</v>
      </c>
      <c r="OZ44" s="704">
        <v>632.9108067712117</v>
      </c>
      <c r="PA44" s="704">
        <v>566.42877494618995</v>
      </c>
      <c r="PB44" s="173">
        <v>972.13629058903757</v>
      </c>
      <c r="PC44" s="1137">
        <v>1082.73381951126</v>
      </c>
      <c r="PD44" s="1138">
        <v>905.60915550928098</v>
      </c>
      <c r="PE44" s="1138">
        <v>980.76582272892801</v>
      </c>
      <c r="PF44" s="1139">
        <v>1609.7037180108809</v>
      </c>
      <c r="PH44" s="563" t="s">
        <v>566</v>
      </c>
      <c r="PI44" s="703">
        <v>422.10260155404012</v>
      </c>
      <c r="PJ44" s="704">
        <v>486.91807368223402</v>
      </c>
      <c r="PK44" s="704">
        <v>454.19871539741899</v>
      </c>
      <c r="PL44" s="173">
        <v>757.56766701847209</v>
      </c>
      <c r="PM44" s="703">
        <v>660.63121795721997</v>
      </c>
      <c r="PN44" s="704">
        <v>418.69108182704701</v>
      </c>
      <c r="PO44" s="704">
        <v>526.56710733150896</v>
      </c>
      <c r="PP44" s="173">
        <v>852.13605099240999</v>
      </c>
      <c r="PQ44" s="65"/>
      <c r="PR44" s="563" t="s">
        <v>566</v>
      </c>
      <c r="PS44" s="1038">
        <v>61.218781669371403</v>
      </c>
      <c r="PT44" s="1039">
        <v>132.82676746667701</v>
      </c>
      <c r="PU44" s="1039">
        <v>141.94787705334099</v>
      </c>
      <c r="PV44" s="1039">
        <v>37.789381737202802</v>
      </c>
      <c r="PW44" s="1039">
        <v>1988.1951182277401</v>
      </c>
      <c r="PX44" s="1040">
        <v>594.42515861739901</v>
      </c>
      <c r="PZ44" s="563" t="s">
        <v>566</v>
      </c>
      <c r="QA44" s="1038">
        <v>1867.69752063325</v>
      </c>
      <c r="QB44" s="1039">
        <v>1085.7055610923301</v>
      </c>
      <c r="QC44" s="1039">
        <v>927.54355483112295</v>
      </c>
      <c r="QD44" s="1039">
        <v>86.320366637540502</v>
      </c>
      <c r="QE44" s="1039">
        <v>67.130437984124001</v>
      </c>
      <c r="QF44" s="1040">
        <v>4.7112016395392899</v>
      </c>
    </row>
    <row r="45" spans="1:448" ht="13.5" customHeight="1">
      <c r="A45" s="593" t="s">
        <v>510</v>
      </c>
      <c r="B45" s="559" t="s">
        <v>567</v>
      </c>
      <c r="C45" s="1103">
        <v>1996.804275</v>
      </c>
      <c r="D45" s="690">
        <v>1643.7974109854554</v>
      </c>
      <c r="E45" s="691">
        <v>1890.5508081064299</v>
      </c>
      <c r="F45" s="428"/>
      <c r="G45" s="563" t="s">
        <v>567</v>
      </c>
      <c r="H45" s="686">
        <f t="shared" si="5"/>
        <v>-3.8160609580468074E-2</v>
      </c>
      <c r="I45" s="668">
        <f t="shared" si="6"/>
        <v>2.8366716930556146E-2</v>
      </c>
      <c r="J45" s="612"/>
      <c r="K45" s="63"/>
      <c r="L45" s="559" t="s">
        <v>567</v>
      </c>
      <c r="M45" s="636">
        <v>22</v>
      </c>
      <c r="N45" s="637">
        <v>21</v>
      </c>
      <c r="O45" s="637">
        <v>21</v>
      </c>
      <c r="P45" s="637">
        <v>15</v>
      </c>
      <c r="Q45" s="637">
        <v>23</v>
      </c>
      <c r="R45" s="637">
        <v>24</v>
      </c>
      <c r="S45" s="637">
        <v>27</v>
      </c>
      <c r="T45" s="637">
        <v>20</v>
      </c>
      <c r="U45" s="1138">
        <v>21</v>
      </c>
      <c r="V45" s="1138">
        <v>21</v>
      </c>
      <c r="W45" s="1139">
        <v>19</v>
      </c>
      <c r="X45" s="563" t="s">
        <v>567</v>
      </c>
      <c r="Y45" s="666">
        <v>21.5</v>
      </c>
      <c r="Z45" s="667">
        <v>18</v>
      </c>
      <c r="AA45" s="667">
        <v>23.5</v>
      </c>
      <c r="AB45" s="667">
        <v>23.5</v>
      </c>
      <c r="AC45" s="667">
        <v>23.5</v>
      </c>
      <c r="AD45" s="668">
        <v>-0.16279069767441862</v>
      </c>
      <c r="AE45" s="668">
        <v>0.30555555555555558</v>
      </c>
      <c r="AF45" s="668">
        <v>0</v>
      </c>
      <c r="AG45" s="1213">
        <v>0.30555555555555558</v>
      </c>
      <c r="AN45" s="563" t="s">
        <v>567</v>
      </c>
      <c r="AO45" s="636">
        <v>0</v>
      </c>
      <c r="AP45" s="637">
        <v>17.368141999999999</v>
      </c>
      <c r="AQ45" s="637">
        <v>42.690851000000002</v>
      </c>
      <c r="AR45" s="637">
        <v>136.79805500000001</v>
      </c>
      <c r="AS45" s="637">
        <v>327.15568999999999</v>
      </c>
      <c r="AT45" s="637">
        <v>282.01487400000002</v>
      </c>
      <c r="AU45" s="637">
        <v>326.45688200000001</v>
      </c>
      <c r="AV45" s="173">
        <v>362.75958500000002</v>
      </c>
      <c r="AW45" s="636">
        <v>0</v>
      </c>
      <c r="AX45" s="637">
        <v>31.778434171576983</v>
      </c>
      <c r="AY45" s="637">
        <v>72.369394221600203</v>
      </c>
      <c r="AZ45" s="637">
        <v>140.32249806677933</v>
      </c>
      <c r="BA45" s="637">
        <v>328.39589832446785</v>
      </c>
      <c r="BB45" s="637">
        <v>212.84355836732939</v>
      </c>
      <c r="BC45" s="637">
        <v>258.5969868001884</v>
      </c>
      <c r="BD45" s="173">
        <v>262.5007508756006</v>
      </c>
      <c r="BE45" s="1137">
        <v>0</v>
      </c>
      <c r="BF45" s="1138">
        <v>46.275342626565603</v>
      </c>
      <c r="BG45" s="1138">
        <v>138.95012169426801</v>
      </c>
      <c r="BH45" s="1138">
        <v>199.46814319133301</v>
      </c>
      <c r="BI45" s="1138">
        <v>328.12426943441</v>
      </c>
      <c r="BJ45" s="1138">
        <v>193.78538865773001</v>
      </c>
      <c r="BK45" s="1138">
        <v>313.23487308159901</v>
      </c>
      <c r="BL45" s="1139">
        <v>272.37109405304699</v>
      </c>
      <c r="BN45" s="563" t="s">
        <v>567</v>
      </c>
      <c r="BO45" s="647">
        <v>501.56019700000002</v>
      </c>
      <c r="BP45" s="648">
        <v>430.18143800000001</v>
      </c>
      <c r="BQ45" s="648">
        <v>389.28292299999998</v>
      </c>
      <c r="BR45" s="648">
        <v>345.996758</v>
      </c>
      <c r="BS45" s="648">
        <v>253.09485599999999</v>
      </c>
      <c r="BT45" s="173">
        <v>76.688102999999998</v>
      </c>
      <c r="BU45" s="647">
        <v>336.9898901579125</v>
      </c>
      <c r="BV45" s="648">
        <v>366.50542257473887</v>
      </c>
      <c r="BW45" s="648">
        <v>311.72954981855975</v>
      </c>
      <c r="BX45" s="648">
        <v>347.56747990306201</v>
      </c>
      <c r="BY45" s="648">
        <v>186.72913188571579</v>
      </c>
      <c r="BZ45" s="173">
        <v>94.27593664546626</v>
      </c>
      <c r="CA45" s="1137">
        <v>398.34157536748</v>
      </c>
      <c r="CB45" s="1138">
        <v>376.06857347108797</v>
      </c>
      <c r="CC45" s="1138">
        <v>374.34235722754801</v>
      </c>
      <c r="CD45" s="1138">
        <v>380.83770493150303</v>
      </c>
      <c r="CE45" s="1138">
        <v>227.51064361846201</v>
      </c>
      <c r="CF45" s="1139">
        <v>133.44995349035301</v>
      </c>
      <c r="CG45" s="429"/>
      <c r="CH45" s="563" t="s">
        <v>567</v>
      </c>
      <c r="CI45" s="172">
        <v>667.08117000000004</v>
      </c>
      <c r="CJ45" s="337">
        <v>1128.5074059999999</v>
      </c>
      <c r="CK45" s="337">
        <v>201.215699</v>
      </c>
      <c r="CL45" s="647">
        <v>463.10373357359418</v>
      </c>
      <c r="CM45" s="648">
        <v>981.17404595468099</v>
      </c>
      <c r="CN45" s="648">
        <v>199.51963145718011</v>
      </c>
      <c r="CO45" s="1137">
        <v>535.87887712092197</v>
      </c>
      <c r="CP45" s="1138">
        <v>1073.23646560666</v>
      </c>
      <c r="CQ45" s="1139">
        <v>281.43546537885697</v>
      </c>
      <c r="CR45" s="429"/>
      <c r="CS45" s="232" t="s">
        <v>643</v>
      </c>
      <c r="CT45" s="242">
        <f t="shared" si="38"/>
        <v>-0.63976513326080175</v>
      </c>
      <c r="CU45" s="135">
        <f t="shared" si="39"/>
        <v>0.53300639057753119</v>
      </c>
      <c r="CV45" s="318">
        <f t="shared" si="40"/>
        <v>-0.3864820043961304</v>
      </c>
      <c r="CW45" s="135">
        <f t="shared" si="41"/>
        <v>0.32411438133294712</v>
      </c>
      <c r="CX45" s="319">
        <f t="shared" si="42"/>
        <v>-0.62058853559281013</v>
      </c>
      <c r="CY45" s="135">
        <f t="shared" si="43"/>
        <v>0.53240962128844171</v>
      </c>
      <c r="CZ45" s="318">
        <f t="shared" si="44"/>
        <v>-0.37426715571806662</v>
      </c>
      <c r="DA45" s="238">
        <f t="shared" si="45"/>
        <v>0.33823152409053947</v>
      </c>
      <c r="DB45" s="426"/>
      <c r="DC45" s="426"/>
      <c r="DD45" s="426"/>
      <c r="DE45" s="426"/>
      <c r="DG45" s="563" t="s">
        <v>567</v>
      </c>
      <c r="DH45" s="1147" t="s">
        <v>758</v>
      </c>
      <c r="DI45" s="1150" t="s">
        <v>935</v>
      </c>
      <c r="DJ45" s="704" t="s">
        <v>936</v>
      </c>
      <c r="DK45" s="704" t="s">
        <v>937</v>
      </c>
      <c r="DL45" s="337" t="s">
        <v>938</v>
      </c>
      <c r="DM45" s="174" t="s">
        <v>845</v>
      </c>
      <c r="DO45" s="559" t="s">
        <v>567</v>
      </c>
      <c r="DP45" s="704">
        <v>825.28622800000005</v>
      </c>
      <c r="DQ45" s="337">
        <v>775.83944448763816</v>
      </c>
      <c r="DR45" s="1139">
        <v>891.88105092422597</v>
      </c>
      <c r="DS45" s="63"/>
      <c r="DT45" s="563" t="s">
        <v>567</v>
      </c>
      <c r="DU45" s="172">
        <v>1996.804275</v>
      </c>
      <c r="DV45" s="337">
        <v>1643.7974109854554</v>
      </c>
      <c r="DW45" s="1139">
        <v>1890.5508081064299</v>
      </c>
      <c r="DX45" s="63"/>
      <c r="DY45" s="563" t="s">
        <v>567</v>
      </c>
      <c r="DZ45" s="1089">
        <f t="shared" si="32"/>
        <v>2.4195293793270469</v>
      </c>
      <c r="EA45" s="787">
        <f t="shared" si="33"/>
        <v>2.1187340018153034</v>
      </c>
      <c r="EB45" s="776">
        <f t="shared" si="34"/>
        <v>2.1197342472376968</v>
      </c>
      <c r="ED45" s="541"/>
      <c r="EE45" s="563" t="s">
        <v>567</v>
      </c>
      <c r="EF45" s="735">
        <v>273.14243399999998</v>
      </c>
      <c r="EG45" s="736">
        <v>22.264728000000002</v>
      </c>
      <c r="EH45" s="736">
        <v>155.497309</v>
      </c>
      <c r="EI45" s="736">
        <v>180.576108</v>
      </c>
      <c r="EJ45" s="736">
        <v>193.80564799999999</v>
      </c>
      <c r="EK45" s="703">
        <v>344.51309563522545</v>
      </c>
      <c r="EL45" s="704">
        <v>15.52817614529194</v>
      </c>
      <c r="EM45" s="704">
        <v>137.40366943973638</v>
      </c>
      <c r="EN45" s="704">
        <v>149.78955998414472</v>
      </c>
      <c r="EO45" s="704">
        <v>128.60494328323961</v>
      </c>
      <c r="EP45" s="1137">
        <v>383.39381052852798</v>
      </c>
      <c r="EQ45" s="1138">
        <v>9.0078348339902892</v>
      </c>
      <c r="ER45" s="1138">
        <v>177.050860508688</v>
      </c>
      <c r="ES45" s="1138">
        <v>177.50554323001899</v>
      </c>
      <c r="ET45" s="1139">
        <v>144.92300182299999</v>
      </c>
      <c r="EV45" s="563" t="s">
        <v>567</v>
      </c>
      <c r="EW45" s="703">
        <v>43.997898999999997</v>
      </c>
      <c r="EX45" s="704">
        <v>115.301072</v>
      </c>
      <c r="EY45" s="704">
        <v>105.118201</v>
      </c>
      <c r="EZ45" s="704">
        <v>8.725263</v>
      </c>
      <c r="FA45" s="703">
        <v>318.425929</v>
      </c>
      <c r="FB45" s="704">
        <v>724.96567600000003</v>
      </c>
      <c r="FC45" s="704">
        <v>428.59485799999999</v>
      </c>
      <c r="FD45" s="704">
        <v>23.257615999999999</v>
      </c>
      <c r="FE45" s="703">
        <v>30.36313145917228</v>
      </c>
      <c r="FF45" s="704">
        <v>125.37798983790728</v>
      </c>
      <c r="FG45" s="704">
        <v>144.20595251919428</v>
      </c>
      <c r="FH45" s="173">
        <v>44.566021818951647</v>
      </c>
      <c r="FI45" s="703">
        <v>261.66654983019686</v>
      </c>
      <c r="FJ45" s="704">
        <v>669.68570251290612</v>
      </c>
      <c r="FK45" s="746">
        <v>322.79359957793719</v>
      </c>
      <c r="FL45" s="747">
        <v>52.661668906502598</v>
      </c>
      <c r="FM45" s="1137">
        <v>29.129192601773699</v>
      </c>
      <c r="FN45" s="1138">
        <v>139.27923237054699</v>
      </c>
      <c r="FO45" s="1138">
        <v>147.36842518680001</v>
      </c>
      <c r="FP45" s="1139">
        <v>67.616960369406996</v>
      </c>
      <c r="FQ45" s="1137">
        <v>262.43522291485499</v>
      </c>
      <c r="FR45" s="1138">
        <v>763.95658884975501</v>
      </c>
      <c r="FS45" s="1138">
        <v>383.206704277835</v>
      </c>
      <c r="FT45" s="1139">
        <v>82.610716696508604</v>
      </c>
      <c r="FV45" s="559" t="s">
        <v>567</v>
      </c>
      <c r="FW45" s="337">
        <v>200.87933000000001</v>
      </c>
      <c r="FX45" s="337">
        <v>133.498245</v>
      </c>
      <c r="FY45" s="337">
        <v>92.995440000000002</v>
      </c>
      <c r="FZ45" s="173">
        <v>102.506051</v>
      </c>
      <c r="GA45" s="703">
        <v>162.06480628220527</v>
      </c>
      <c r="GB45" s="704">
        <v>104.0293283823766</v>
      </c>
      <c r="GC45" s="704">
        <v>96.690747983928887</v>
      </c>
      <c r="GD45" s="173">
        <v>59.240428639738056</v>
      </c>
      <c r="GE45" s="1137">
        <v>211.43143807178899</v>
      </c>
      <c r="GF45" s="1138">
        <v>128.49457371213299</v>
      </c>
      <c r="GG45" s="1138">
        <v>91.121402749057395</v>
      </c>
      <c r="GH45" s="1139">
        <v>71.269290578654193</v>
      </c>
      <c r="GJ45" s="563" t="s">
        <v>567</v>
      </c>
      <c r="GK45" s="703">
        <v>847.49899300000004</v>
      </c>
      <c r="GL45" s="704">
        <v>863.49939367112256</v>
      </c>
      <c r="GM45" s="1139">
        <v>1008.00090560174</v>
      </c>
      <c r="GO45" s="563" t="s">
        <v>567</v>
      </c>
      <c r="GP45" s="703">
        <v>825.28622800000005</v>
      </c>
      <c r="GQ45" s="704">
        <v>4.3474399999999997</v>
      </c>
      <c r="GR45" s="173">
        <v>17.865324999999999</v>
      </c>
      <c r="GS45" s="703">
        <v>775.83944448763816</v>
      </c>
      <c r="GT45" s="704">
        <v>12.34085477564817</v>
      </c>
      <c r="GU45" s="173">
        <v>75.319094407836218</v>
      </c>
      <c r="GV45" s="1137">
        <v>891.88105092422597</v>
      </c>
      <c r="GW45" s="1138">
        <v>7.3460565690998401</v>
      </c>
      <c r="GX45" s="1139">
        <v>108.773798108412</v>
      </c>
      <c r="GZ45" s="563" t="s">
        <v>567</v>
      </c>
      <c r="HA45" s="703">
        <v>167.225728</v>
      </c>
      <c r="HB45" s="704">
        <v>680.27326500000004</v>
      </c>
      <c r="HC45" s="173">
        <f t="shared" si="7"/>
        <v>0</v>
      </c>
      <c r="HD45" s="703">
        <v>130.48789538900033</v>
      </c>
      <c r="HE45" s="704">
        <v>726.80117400398694</v>
      </c>
      <c r="HF45" s="173">
        <f t="shared" si="8"/>
        <v>6.2103242781353174</v>
      </c>
      <c r="HG45" s="583">
        <v>136.40864410796399</v>
      </c>
      <c r="HH45" s="1138">
        <v>868.46595605614698</v>
      </c>
      <c r="HI45" s="173">
        <f t="shared" si="9"/>
        <v>3.1263054376290711</v>
      </c>
      <c r="HK45" s="563" t="s">
        <v>567</v>
      </c>
      <c r="HL45" s="704">
        <v>825.28622800000005</v>
      </c>
      <c r="HM45" s="704">
        <v>3057.745171</v>
      </c>
      <c r="HN45" s="776">
        <f t="shared" si="10"/>
        <v>3.7050723340072502</v>
      </c>
      <c r="HO45" s="703">
        <v>775.83944448763816</v>
      </c>
      <c r="HP45" s="704">
        <v>2769.1604472941167</v>
      </c>
      <c r="HQ45" s="776">
        <f t="shared" si="11"/>
        <v>3.5692442127931008</v>
      </c>
      <c r="HR45" s="1138">
        <v>891.88105092422597</v>
      </c>
      <c r="HS45" s="1138">
        <v>3240.3982976069301</v>
      </c>
      <c r="HT45" s="784">
        <f t="shared" si="12"/>
        <v>3.6332180106854111</v>
      </c>
      <c r="HV45" s="563" t="s">
        <v>567</v>
      </c>
      <c r="HW45" s="172">
        <v>154.644745</v>
      </c>
      <c r="HX45" s="337">
        <v>682.76579100000004</v>
      </c>
      <c r="HY45" s="787">
        <f t="shared" si="13"/>
        <v>4.415059761649192</v>
      </c>
      <c r="HZ45" s="704">
        <v>670.64148399999999</v>
      </c>
      <c r="IA45" s="704">
        <v>2374.9793810000001</v>
      </c>
      <c r="IB45" s="787">
        <f t="shared" si="14"/>
        <v>3.5413547143468986</v>
      </c>
      <c r="IC45" s="703">
        <v>114.86308930457318</v>
      </c>
      <c r="ID45" s="704">
        <v>534.56055494371151</v>
      </c>
      <c r="IE45" s="787">
        <f t="shared" si="15"/>
        <v>4.6538932409023097</v>
      </c>
      <c r="IF45" s="704">
        <v>654.76603090492972</v>
      </c>
      <c r="IG45" s="704">
        <v>2215.9379599788704</v>
      </c>
      <c r="IH45" s="776">
        <f t="shared" si="16"/>
        <v>3.3843202844782563</v>
      </c>
      <c r="II45" s="1137">
        <v>116.245111528517</v>
      </c>
      <c r="IJ45" s="1138">
        <v>547.57424386368598</v>
      </c>
      <c r="IK45" s="1170">
        <f t="shared" si="17"/>
        <v>4.7105141598092599</v>
      </c>
      <c r="IL45" s="1138">
        <v>772.50963395808196</v>
      </c>
      <c r="IM45" s="1138">
        <v>2680.3188319927399</v>
      </c>
      <c r="IN45" s="1171">
        <f t="shared" si="18"/>
        <v>3.4696251207375619</v>
      </c>
      <c r="IP45" s="563" t="s">
        <v>567</v>
      </c>
      <c r="IQ45" s="172">
        <v>31.666793999999999</v>
      </c>
      <c r="IR45" s="704">
        <v>121.467732</v>
      </c>
      <c r="IS45" s="704">
        <v>199.51458099999999</v>
      </c>
      <c r="IT45" s="704">
        <v>259.91375299999999</v>
      </c>
      <c r="IU45" s="704">
        <v>212.72336799999999</v>
      </c>
      <c r="IV45" s="704">
        <v>3057.745171</v>
      </c>
      <c r="IW45" s="703">
        <v>48.603894264212443</v>
      </c>
      <c r="IX45" s="704">
        <v>69.514139054163863</v>
      </c>
      <c r="IY45" s="704">
        <v>256.53886056351354</v>
      </c>
      <c r="IZ45" s="704">
        <v>260.32042626065856</v>
      </c>
      <c r="JA45" s="704">
        <v>140.86212434508971</v>
      </c>
      <c r="JB45" s="173">
        <v>2769.1604472941167</v>
      </c>
      <c r="JC45" s="1137">
        <v>37.071779676435703</v>
      </c>
      <c r="JD45" s="1138">
        <v>95.811921403451905</v>
      </c>
      <c r="JE45" s="1138">
        <v>318.61192533164098</v>
      </c>
      <c r="JF45" s="1138">
        <v>226.909476301761</v>
      </c>
      <c r="JG45" s="1138">
        <v>213.475948210936</v>
      </c>
      <c r="JH45" s="1139">
        <v>3240.3982976069301</v>
      </c>
      <c r="JJ45" s="563" t="s">
        <v>567</v>
      </c>
      <c r="JK45" s="172">
        <v>126.37025199999999</v>
      </c>
      <c r="JL45" s="337">
        <v>111.40009999999995</v>
      </c>
      <c r="JM45" s="337">
        <v>587.51587600000005</v>
      </c>
      <c r="JN45" s="173">
        <v>0</v>
      </c>
      <c r="JO45" s="703">
        <v>217.47526950179147</v>
      </c>
      <c r="JP45" s="704">
        <v>94.051794268286642</v>
      </c>
      <c r="JQ45" s="704">
        <v>459.44611996786108</v>
      </c>
      <c r="JR45" s="173">
        <v>4.8662607496989256</v>
      </c>
      <c r="JS45" s="1137">
        <v>212.496948574275</v>
      </c>
      <c r="JT45" s="1138">
        <v>225.250878984986</v>
      </c>
      <c r="JU45" s="1138">
        <v>445.726915978487</v>
      </c>
      <c r="JV45" s="1139">
        <v>8.4063073864786002</v>
      </c>
      <c r="JX45" s="563" t="s">
        <v>567</v>
      </c>
      <c r="JY45" s="703">
        <v>149.750047298769</v>
      </c>
      <c r="JZ45" s="704">
        <v>252.24099793623901</v>
      </c>
      <c r="KA45" s="704">
        <v>134.06126606794399</v>
      </c>
      <c r="KB45" s="173">
        <v>355.82873962127297</v>
      </c>
      <c r="KC45" s="603"/>
      <c r="KD45" s="563" t="s">
        <v>567</v>
      </c>
      <c r="KE45" s="703">
        <v>0</v>
      </c>
      <c r="KF45" s="704">
        <v>10.1911935120298</v>
      </c>
      <c r="KG45" s="704">
        <v>519.70975278716003</v>
      </c>
      <c r="KH45" s="704">
        <v>128.422203430557</v>
      </c>
      <c r="KI45" s="704">
        <v>20.646241204787401</v>
      </c>
      <c r="KJ45" s="173">
        <v>88.707962972680704</v>
      </c>
      <c r="KK45" s="703">
        <v>23.087380463648799</v>
      </c>
      <c r="KL45" s="704">
        <v>6.35308234358126</v>
      </c>
      <c r="KM45" s="704">
        <v>43.253590713904103</v>
      </c>
      <c r="KN45" s="704">
        <v>22.130042387103799</v>
      </c>
      <c r="KO45" s="704">
        <v>12.4658327945849</v>
      </c>
      <c r="KP45" s="173">
        <v>8.9551828256944699</v>
      </c>
      <c r="KQ45" s="703">
        <v>23.087380463648799</v>
      </c>
      <c r="KR45" s="704">
        <v>16.544275855611101</v>
      </c>
      <c r="KS45" s="704">
        <v>566.08964893869097</v>
      </c>
      <c r="KT45" s="704">
        <v>150.552245817661</v>
      </c>
      <c r="KU45" s="704">
        <v>33.1120739993722</v>
      </c>
      <c r="KV45" s="173">
        <v>97.663145798375098</v>
      </c>
      <c r="KW45" s="429"/>
      <c r="KX45" s="563" t="s">
        <v>567</v>
      </c>
      <c r="KY45" s="172">
        <f t="shared" si="35"/>
        <v>224.5741220000001</v>
      </c>
      <c r="KZ45" s="337">
        <v>441.59771999999998</v>
      </c>
      <c r="LA45" s="173">
        <v>159.114386</v>
      </c>
      <c r="LB45" s="172">
        <f t="shared" si="36"/>
        <v>234.27628717122184</v>
      </c>
      <c r="LC45" s="704">
        <v>448.2873883026428</v>
      </c>
      <c r="LD45" s="173">
        <v>93.275769013773512</v>
      </c>
      <c r="LE45" s="172">
        <f t="shared" si="37"/>
        <v>232.90102829426496</v>
      </c>
      <c r="LF45" s="1138">
        <v>496.63544611867002</v>
      </c>
      <c r="LG45" s="1139">
        <v>162.344576511291</v>
      </c>
      <c r="LH45" s="426"/>
      <c r="LI45" s="563" t="s">
        <v>567</v>
      </c>
      <c r="LJ45" s="172">
        <v>831.52723000000003</v>
      </c>
      <c r="LK45" s="337">
        <v>669.56957699999998</v>
      </c>
      <c r="LL45" s="337">
        <v>161.95765299999999</v>
      </c>
      <c r="LM45" s="337">
        <v>150.425737</v>
      </c>
      <c r="LN45" s="337">
        <v>125.241184</v>
      </c>
      <c r="LO45" s="173">
        <v>186.83422899999999</v>
      </c>
      <c r="LP45" s="703">
        <v>790.04139652894526</v>
      </c>
      <c r="LQ45" s="704">
        <v>589.7838027673846</v>
      </c>
      <c r="LR45" s="704">
        <v>200.2575937615608</v>
      </c>
      <c r="LS45" s="704">
        <v>155.34950681483411</v>
      </c>
      <c r="LT45" s="704">
        <v>77.523480306418776</v>
      </c>
      <c r="LU45" s="173">
        <v>84.373505720164388</v>
      </c>
      <c r="LV45" s="1137">
        <v>934.98106974885297</v>
      </c>
      <c r="LW45" s="1138">
        <v>752.62973910230698</v>
      </c>
      <c r="LX45" s="1138">
        <v>182.35133064654599</v>
      </c>
      <c r="LY45" s="1138">
        <v>120.885915466014</v>
      </c>
      <c r="LZ45" s="1138">
        <v>49.279152091678803</v>
      </c>
      <c r="MA45" s="1139">
        <v>105.627630053551</v>
      </c>
      <c r="MC45" s="563" t="s">
        <v>567</v>
      </c>
      <c r="MD45" s="172">
        <v>0</v>
      </c>
      <c r="ME45" s="337">
        <v>13.020707</v>
      </c>
      <c r="MF45" s="337">
        <v>42.690851000000002</v>
      </c>
      <c r="MG45" s="337">
        <v>118.643697</v>
      </c>
      <c r="MH45" s="337">
        <v>255.45119299999999</v>
      </c>
      <c r="MI45" s="173">
        <v>239.76312899999999</v>
      </c>
      <c r="MJ45" s="703">
        <v>0</v>
      </c>
      <c r="MK45" s="704">
        <v>31.778434171576983</v>
      </c>
      <c r="ML45" s="704">
        <v>69.222480377762679</v>
      </c>
      <c r="MM45" s="704">
        <v>118.82710790320688</v>
      </c>
      <c r="MN45" s="704">
        <v>222.90335586606335</v>
      </c>
      <c r="MO45" s="173">
        <v>147.05242444877464</v>
      </c>
      <c r="MP45" s="1137">
        <v>0</v>
      </c>
      <c r="MQ45" s="1138">
        <v>44.342430606218699</v>
      </c>
      <c r="MR45" s="1138">
        <v>132.27212573229599</v>
      </c>
      <c r="MS45" s="1138">
        <v>181.28483190156899</v>
      </c>
      <c r="MT45" s="1138">
        <v>248.50872165145699</v>
      </c>
      <c r="MU45" s="1139">
        <v>146.221629210766</v>
      </c>
      <c r="MW45" s="563" t="s">
        <v>567</v>
      </c>
      <c r="MX45" s="172">
        <v>669.56957699999998</v>
      </c>
      <c r="MY45" s="337">
        <v>634.52120600000001</v>
      </c>
      <c r="MZ45" s="337">
        <v>35.048371000000003</v>
      </c>
      <c r="NA45" s="703">
        <v>598.97876497018535</v>
      </c>
      <c r="NB45" s="704">
        <v>554.69149123187492</v>
      </c>
      <c r="NC45" s="173">
        <v>44.287273738310382</v>
      </c>
      <c r="ND45" s="1137">
        <v>756.03656781073596</v>
      </c>
      <c r="NE45" s="1138">
        <v>685.43938511560498</v>
      </c>
      <c r="NF45" s="1139">
        <v>70.597182695130996</v>
      </c>
      <c r="NH45" s="563" t="s">
        <v>567</v>
      </c>
      <c r="NI45" s="703">
        <v>453.90531404275191</v>
      </c>
      <c r="NJ45" s="173">
        <v>100.78617718912308</v>
      </c>
      <c r="NK45" s="703">
        <v>18.653505653846999</v>
      </c>
      <c r="NL45" s="704">
        <v>25.633768084463384</v>
      </c>
      <c r="NM45" s="173">
        <v>0</v>
      </c>
      <c r="NN45" s="1137">
        <v>554.858193430509</v>
      </c>
      <c r="NO45" s="1139">
        <v>130.58119168509563</v>
      </c>
      <c r="NP45" s="1137">
        <v>56.561957239680197</v>
      </c>
      <c r="NQ45" s="1138">
        <v>14.035225455450799</v>
      </c>
      <c r="NR45" s="1139">
        <v>0</v>
      </c>
      <c r="NS45" s="136"/>
      <c r="NT45" s="563" t="s">
        <v>567</v>
      </c>
      <c r="NU45" s="703">
        <v>63.703360874858383</v>
      </c>
      <c r="NV45" s="704">
        <v>15.532863746215041</v>
      </c>
      <c r="NW45" s="704">
        <v>6.1709380233191604</v>
      </c>
      <c r="NX45" s="173">
        <v>15.379014544730499</v>
      </c>
      <c r="NY45" s="1137">
        <v>84.040628477594794</v>
      </c>
      <c r="NZ45" s="1138">
        <v>29.189217317968001</v>
      </c>
      <c r="OA45" s="1138">
        <v>3.29372447031154</v>
      </c>
      <c r="OB45" s="1139">
        <v>14.0576214192213</v>
      </c>
      <c r="OC45" s="553"/>
      <c r="OD45" s="563" t="s">
        <v>567</v>
      </c>
      <c r="OE45" s="703">
        <v>52.160271406546897</v>
      </c>
      <c r="OF45" s="704">
        <v>114.38331415872101</v>
      </c>
      <c r="OG45" s="704">
        <v>118.086436217973</v>
      </c>
      <c r="OH45" s="704">
        <v>76.100404006507603</v>
      </c>
      <c r="OI45" s="704">
        <v>75.349772307209705</v>
      </c>
      <c r="OJ45" s="704">
        <v>7.1454250946618698</v>
      </c>
      <c r="OK45" s="173">
        <v>19.437678590595699</v>
      </c>
      <c r="OL45" s="703">
        <v>96.575458085531594</v>
      </c>
      <c r="OM45" s="704">
        <v>120.948205882575</v>
      </c>
      <c r="ON45" s="704">
        <v>131.04311101707799</v>
      </c>
      <c r="OO45" s="704">
        <v>82.217304610402394</v>
      </c>
      <c r="OP45" s="704">
        <v>180.21791830445201</v>
      </c>
      <c r="OQ45" s="704">
        <v>113.633350556233</v>
      </c>
      <c r="OR45" s="173">
        <v>1116.14065926787</v>
      </c>
      <c r="OT45" s="563" t="s">
        <v>567</v>
      </c>
      <c r="OU45" s="172">
        <v>581.17062099999998</v>
      </c>
      <c r="OV45" s="337">
        <v>338.268869</v>
      </c>
      <c r="OW45" s="337">
        <v>147.70014900000001</v>
      </c>
      <c r="OX45" s="173">
        <v>183.98924700000001</v>
      </c>
      <c r="OY45" s="703">
        <v>488.07489478833543</v>
      </c>
      <c r="OZ45" s="704">
        <v>282.58708096371981</v>
      </c>
      <c r="PA45" s="704">
        <v>161.04350533218022</v>
      </c>
      <c r="PB45" s="173">
        <v>204.3856450858124</v>
      </c>
      <c r="PC45" s="1137">
        <v>436.689326650547</v>
      </c>
      <c r="PD45" s="1138">
        <v>294.67012305083603</v>
      </c>
      <c r="PE45" s="1138">
        <v>194.69602315242801</v>
      </c>
      <c r="PF45" s="1139">
        <v>388.12047988616803</v>
      </c>
      <c r="PH45" s="563" t="s">
        <v>567</v>
      </c>
      <c r="PI45" s="703">
        <v>169.6817226630061</v>
      </c>
      <c r="PJ45" s="704">
        <v>161.91319091812801</v>
      </c>
      <c r="PK45" s="704">
        <v>87.037674784070305</v>
      </c>
      <c r="PL45" s="173">
        <v>176.71520578165467</v>
      </c>
      <c r="PM45" s="703">
        <v>267.0076039875409</v>
      </c>
      <c r="PN45" s="704">
        <v>132.75693213270901</v>
      </c>
      <c r="PO45" s="704">
        <v>107.65834836835801</v>
      </c>
      <c r="PP45" s="173">
        <v>211.4052741045127</v>
      </c>
      <c r="PQ45" s="65"/>
      <c r="PR45" s="563" t="s">
        <v>567</v>
      </c>
      <c r="PS45" s="1038">
        <v>19.1498926394401</v>
      </c>
      <c r="PT45" s="1039">
        <v>51.274543235160998</v>
      </c>
      <c r="PU45" s="1039">
        <v>32.592236809158798</v>
      </c>
      <c r="PV45" s="1039">
        <v>13.3274848724237</v>
      </c>
      <c r="PW45" s="1039">
        <v>465.800118870284</v>
      </c>
      <c r="PX45" s="1040">
        <v>173.89229138426799</v>
      </c>
      <c r="PZ45" s="563" t="s">
        <v>567</v>
      </c>
      <c r="QA45" s="1038">
        <v>482.42209756798002</v>
      </c>
      <c r="QB45" s="1039">
        <v>273.614470242756</v>
      </c>
      <c r="QC45" s="1039">
        <v>232.064381166609</v>
      </c>
      <c r="QD45" s="1039">
        <v>16.891275959220501</v>
      </c>
      <c r="QE45" s="1039">
        <v>24.658813116926002</v>
      </c>
      <c r="QF45" s="1040">
        <v>0</v>
      </c>
    </row>
    <row r="46" spans="1:448" ht="13.5" customHeight="1">
      <c r="A46" s="593" t="s">
        <v>511</v>
      </c>
      <c r="B46" s="559" t="s">
        <v>568</v>
      </c>
      <c r="C46" s="1103">
        <v>2679.9088280000001</v>
      </c>
      <c r="D46" s="690">
        <v>2854.1958414044502</v>
      </c>
      <c r="E46" s="691">
        <v>2785.7373180618101</v>
      </c>
      <c r="F46" s="428"/>
      <c r="G46" s="563" t="s">
        <v>568</v>
      </c>
      <c r="H46" s="686">
        <f t="shared" si="5"/>
        <v>1.2681205546460239E-2</v>
      </c>
      <c r="I46" s="668">
        <f t="shared" si="6"/>
        <v>-4.8437414992851258E-3</v>
      </c>
      <c r="J46" s="612"/>
      <c r="K46" s="63"/>
      <c r="L46" s="559" t="s">
        <v>568</v>
      </c>
      <c r="M46" s="636">
        <v>29</v>
      </c>
      <c r="N46" s="637">
        <v>30</v>
      </c>
      <c r="O46" s="637">
        <v>23</v>
      </c>
      <c r="P46" s="637">
        <v>24</v>
      </c>
      <c r="Q46" s="637">
        <v>30</v>
      </c>
      <c r="R46" s="637">
        <v>21</v>
      </c>
      <c r="S46" s="637">
        <v>33</v>
      </c>
      <c r="T46" s="637">
        <v>24</v>
      </c>
      <c r="U46" s="1138">
        <v>30</v>
      </c>
      <c r="V46" s="1138">
        <v>23</v>
      </c>
      <c r="W46" s="1139">
        <v>27</v>
      </c>
      <c r="X46" s="563" t="s">
        <v>568</v>
      </c>
      <c r="Y46" s="666">
        <v>29.5</v>
      </c>
      <c r="Z46" s="667">
        <v>23.5</v>
      </c>
      <c r="AA46" s="667">
        <v>25.5</v>
      </c>
      <c r="AB46" s="667">
        <v>28.5</v>
      </c>
      <c r="AC46" s="667">
        <v>28.5</v>
      </c>
      <c r="AD46" s="668">
        <v>-0.20338983050847459</v>
      </c>
      <c r="AE46" s="668">
        <v>8.5106382978723402E-2</v>
      </c>
      <c r="AF46" s="668">
        <v>0.11764705882352941</v>
      </c>
      <c r="AG46" s="1213">
        <v>8.5106382978723402E-2</v>
      </c>
      <c r="AN46" s="563" t="s">
        <v>568</v>
      </c>
      <c r="AO46" s="636">
        <v>0</v>
      </c>
      <c r="AP46" s="637">
        <v>45.535406999999999</v>
      </c>
      <c r="AQ46" s="637">
        <v>269.59938</v>
      </c>
      <c r="AR46" s="637">
        <v>368.30623800000001</v>
      </c>
      <c r="AS46" s="637">
        <v>344.25126999999998</v>
      </c>
      <c r="AT46" s="637">
        <v>202.058111</v>
      </c>
      <c r="AU46" s="637">
        <v>733.71091699999999</v>
      </c>
      <c r="AV46" s="173">
        <v>373.49998799999997</v>
      </c>
      <c r="AW46" s="636">
        <v>0</v>
      </c>
      <c r="AX46" s="637">
        <v>41.02616388043738</v>
      </c>
      <c r="AY46" s="637">
        <v>214.97290746402413</v>
      </c>
      <c r="AZ46" s="637">
        <v>290.29961648101187</v>
      </c>
      <c r="BA46" s="637">
        <v>346.08085023180064</v>
      </c>
      <c r="BB46" s="637">
        <v>221.99534298601009</v>
      </c>
      <c r="BC46" s="637">
        <v>957.19515719351784</v>
      </c>
      <c r="BD46" s="173">
        <v>400.88723799753848</v>
      </c>
      <c r="BE46" s="1137">
        <v>0</v>
      </c>
      <c r="BF46" s="1138">
        <v>77.468026496696993</v>
      </c>
      <c r="BG46" s="1138">
        <v>273.22018347071503</v>
      </c>
      <c r="BH46" s="1138">
        <v>443.35561865281198</v>
      </c>
      <c r="BI46" s="1138">
        <v>404.05359841275401</v>
      </c>
      <c r="BJ46" s="1138">
        <v>209.357235788015</v>
      </c>
      <c r="BK46" s="1138">
        <v>736.21379316631806</v>
      </c>
      <c r="BL46" s="1139">
        <v>334.30896786111703</v>
      </c>
      <c r="BN46" s="563" t="s">
        <v>568</v>
      </c>
      <c r="BO46" s="647">
        <v>338.94752099999999</v>
      </c>
      <c r="BP46" s="648">
        <v>533.946099</v>
      </c>
      <c r="BQ46" s="648">
        <v>536.19002</v>
      </c>
      <c r="BR46" s="648">
        <v>461.39012600000001</v>
      </c>
      <c r="BS46" s="648">
        <v>327.12770699999999</v>
      </c>
      <c r="BT46" s="173">
        <v>482.30735499999997</v>
      </c>
      <c r="BU46" s="647">
        <v>381.73856517010961</v>
      </c>
      <c r="BV46" s="648">
        <v>508.6793860352837</v>
      </c>
      <c r="BW46" s="648">
        <v>422.4279298288069</v>
      </c>
      <c r="BX46" s="648">
        <v>490.23932716925839</v>
      </c>
      <c r="BY46" s="648">
        <v>403.85151546956513</v>
      </c>
      <c r="BZ46" s="173">
        <v>647.25911773142673</v>
      </c>
      <c r="CA46" s="1137">
        <v>304.75989116722701</v>
      </c>
      <c r="CB46" s="1138">
        <v>641.46441685671005</v>
      </c>
      <c r="CC46" s="1138">
        <v>523.50305565342398</v>
      </c>
      <c r="CD46" s="1138">
        <v>469.17307903467201</v>
      </c>
      <c r="CE46" s="1138">
        <v>344.68276349529901</v>
      </c>
      <c r="CF46" s="1139">
        <v>502.154111854478</v>
      </c>
      <c r="CG46" s="429"/>
      <c r="CH46" s="563" t="s">
        <v>568</v>
      </c>
      <c r="CI46" s="172">
        <v>505.274227</v>
      </c>
      <c r="CJ46" s="337">
        <v>1505.732657</v>
      </c>
      <c r="CK46" s="337">
        <v>668.90194399999996</v>
      </c>
      <c r="CL46" s="647">
        <v>542.94739186467609</v>
      </c>
      <c r="CM46" s="648">
        <v>1369.5951469894569</v>
      </c>
      <c r="CN46" s="648">
        <v>941.65330255031745</v>
      </c>
      <c r="CO46" s="1137">
        <v>467.87811820552901</v>
      </c>
      <c r="CP46" s="1138">
        <v>1576.85050052529</v>
      </c>
      <c r="CQ46" s="1139">
        <v>741.00869933099295</v>
      </c>
      <c r="CR46" s="429"/>
      <c r="CS46" s="232" t="s">
        <v>644</v>
      </c>
      <c r="CT46" s="242">
        <f t="shared" si="38"/>
        <v>-0.11572011824127577</v>
      </c>
      <c r="CU46" s="135">
        <f t="shared" si="39"/>
        <v>9.1451211171391558E-2</v>
      </c>
      <c r="CV46" s="318">
        <f t="shared" si="40"/>
        <v>-0.18879000009711921</v>
      </c>
      <c r="CW46" s="135">
        <f t="shared" si="41"/>
        <v>0.15421889166486935</v>
      </c>
      <c r="CX46" s="319">
        <f t="shared" si="42"/>
        <v>-9.4838176625219345E-2</v>
      </c>
      <c r="CY46" s="135">
        <f t="shared" si="43"/>
        <v>0.10419001644387491</v>
      </c>
      <c r="CZ46" s="318">
        <f t="shared" si="44"/>
        <v>-0.17905608781524787</v>
      </c>
      <c r="DA46" s="238">
        <f t="shared" si="45"/>
        <v>0.15926258088656167</v>
      </c>
      <c r="DB46" s="426"/>
      <c r="DC46" s="426"/>
      <c r="DD46" s="426"/>
      <c r="DE46" s="426"/>
      <c r="DG46" s="563" t="s">
        <v>568</v>
      </c>
      <c r="DH46" s="1147" t="s">
        <v>756</v>
      </c>
      <c r="DI46" s="1150" t="s">
        <v>939</v>
      </c>
      <c r="DJ46" s="704" t="s">
        <v>940</v>
      </c>
      <c r="DK46" s="704" t="s">
        <v>941</v>
      </c>
      <c r="DL46" s="337" t="s">
        <v>942</v>
      </c>
      <c r="DM46" s="174" t="s">
        <v>859</v>
      </c>
      <c r="DO46" s="559" t="s">
        <v>568</v>
      </c>
      <c r="DP46" s="704">
        <v>1355.0227850000001</v>
      </c>
      <c r="DQ46" s="337">
        <v>1432.1065838257236</v>
      </c>
      <c r="DR46" s="1139">
        <v>1587.99782472024</v>
      </c>
      <c r="DS46" s="63"/>
      <c r="DT46" s="563" t="s">
        <v>568</v>
      </c>
      <c r="DU46" s="172">
        <v>2522.9090190000002</v>
      </c>
      <c r="DV46" s="337">
        <v>2642.1960070851492</v>
      </c>
      <c r="DW46" s="1139">
        <v>2580.73710990788</v>
      </c>
      <c r="DX46" s="63"/>
      <c r="DY46" s="563" t="s">
        <v>568</v>
      </c>
      <c r="DZ46" s="1089">
        <f t="shared" si="32"/>
        <v>1.8618941665988296</v>
      </c>
      <c r="EA46" s="787">
        <f t="shared" si="33"/>
        <v>1.8449716221726999</v>
      </c>
      <c r="EB46" s="776">
        <f t="shared" si="34"/>
        <v>1.6251515397148182</v>
      </c>
      <c r="ED46" s="541"/>
      <c r="EE46" s="563" t="s">
        <v>568</v>
      </c>
      <c r="EF46" s="735">
        <v>632.70947999999999</v>
      </c>
      <c r="EG46" s="736">
        <v>25.408276000000001</v>
      </c>
      <c r="EH46" s="736">
        <v>361.95761099999999</v>
      </c>
      <c r="EI46" s="736">
        <v>206.23128700000001</v>
      </c>
      <c r="EJ46" s="736">
        <v>128.71613099999999</v>
      </c>
      <c r="EK46" s="703">
        <v>763.23464480305472</v>
      </c>
      <c r="EL46" s="704">
        <v>28.178839236504334</v>
      </c>
      <c r="EM46" s="704">
        <v>288.86031628283291</v>
      </c>
      <c r="EN46" s="704">
        <v>228.7057182641569</v>
      </c>
      <c r="EO46" s="704">
        <v>123.12706523917488</v>
      </c>
      <c r="EP46" s="1137">
        <v>1007.84211014297</v>
      </c>
      <c r="EQ46" s="1138">
        <v>34.785759665354</v>
      </c>
      <c r="ER46" s="1138">
        <v>274.89312285649697</v>
      </c>
      <c r="ES46" s="1138">
        <v>188.710579542397</v>
      </c>
      <c r="ET46" s="1139">
        <v>81.766252513020305</v>
      </c>
      <c r="EV46" s="563" t="s">
        <v>568</v>
      </c>
      <c r="EW46" s="703">
        <v>100.00012700000001</v>
      </c>
      <c r="EX46" s="704">
        <v>242.93937</v>
      </c>
      <c r="EY46" s="704">
        <v>165.230142</v>
      </c>
      <c r="EZ46" s="704">
        <v>124.539841</v>
      </c>
      <c r="FA46" s="703">
        <v>392.494666</v>
      </c>
      <c r="FB46" s="704">
        <v>1006.400152</v>
      </c>
      <c r="FC46" s="704">
        <v>545.93197899999996</v>
      </c>
      <c r="FD46" s="704">
        <v>240.13469900000001</v>
      </c>
      <c r="FE46" s="703">
        <v>72.897294765310932</v>
      </c>
      <c r="FF46" s="704">
        <v>204.44373875545648</v>
      </c>
      <c r="FG46" s="704">
        <v>246.95957641643159</v>
      </c>
      <c r="FH46" s="173">
        <v>238.93403486585569</v>
      </c>
      <c r="FI46" s="703">
        <v>366.49926317155359</v>
      </c>
      <c r="FJ46" s="704">
        <v>853.28826527434308</v>
      </c>
      <c r="FK46" s="746">
        <v>690.23615952454054</v>
      </c>
      <c r="FL46" s="747">
        <v>350.43375394460242</v>
      </c>
      <c r="FM46" s="1137">
        <v>163.57153144989101</v>
      </c>
      <c r="FN46" s="1138">
        <v>350.36459049638898</v>
      </c>
      <c r="FO46" s="1138">
        <v>315.49272376399</v>
      </c>
      <c r="FP46" s="1139">
        <v>179.41326544808399</v>
      </c>
      <c r="FQ46" s="1137">
        <v>399.326722053374</v>
      </c>
      <c r="FR46" s="1138">
        <v>1073.1147198923099</v>
      </c>
      <c r="FS46" s="1138">
        <v>546.60028072350599</v>
      </c>
      <c r="FT46" s="1139">
        <v>263.935503179161</v>
      </c>
      <c r="FV46" s="559" t="s">
        <v>568</v>
      </c>
      <c r="FW46" s="337">
        <v>397.461006</v>
      </c>
      <c r="FX46" s="337">
        <v>148.72564299999999</v>
      </c>
      <c r="FY46" s="337">
        <v>119.35483600000001</v>
      </c>
      <c r="FZ46" s="173">
        <v>31.363543</v>
      </c>
      <c r="GA46" s="703">
        <v>322.48389018755023</v>
      </c>
      <c r="GB46" s="704">
        <v>133.80696665088001</v>
      </c>
      <c r="GC46" s="704">
        <v>119.23782814593564</v>
      </c>
      <c r="GD46" s="173">
        <v>68.430657190576085</v>
      </c>
      <c r="GE46" s="1137">
        <v>301.39898422925398</v>
      </c>
      <c r="GF46" s="1138">
        <v>110.272509032488</v>
      </c>
      <c r="GG46" s="1138">
        <v>98.298758036475405</v>
      </c>
      <c r="GH46" s="1139">
        <v>36.346460907234302</v>
      </c>
      <c r="GJ46" s="563" t="s">
        <v>568</v>
      </c>
      <c r="GK46" s="703">
        <v>1447.498347</v>
      </c>
      <c r="GL46" s="704">
        <v>1602.9988807895979</v>
      </c>
      <c r="GM46" s="1139">
        <v>1845.47772468874</v>
      </c>
      <c r="GO46" s="563" t="s">
        <v>568</v>
      </c>
      <c r="GP46" s="703">
        <v>1355.0227850000001</v>
      </c>
      <c r="GQ46" s="704">
        <v>5.6408630000000004</v>
      </c>
      <c r="GR46" s="173">
        <v>86.834699000000001</v>
      </c>
      <c r="GS46" s="703">
        <v>1432.1065838257236</v>
      </c>
      <c r="GT46" s="704">
        <v>26.649221872107574</v>
      </c>
      <c r="GU46" s="173">
        <v>144.24307509176654</v>
      </c>
      <c r="GV46" s="1137">
        <v>1590.9978277663899</v>
      </c>
      <c r="GW46" s="1138">
        <v>107.63637112832799</v>
      </c>
      <c r="GX46" s="1139">
        <v>146.84352579401499</v>
      </c>
      <c r="GZ46" s="563" t="s">
        <v>568</v>
      </c>
      <c r="HA46" s="703">
        <v>465.100684</v>
      </c>
      <c r="HB46" s="704">
        <v>948.51672299999996</v>
      </c>
      <c r="HC46" s="173">
        <f t="shared" si="7"/>
        <v>33.88094000000001</v>
      </c>
      <c r="HD46" s="703">
        <v>366.47186899980278</v>
      </c>
      <c r="HE46" s="704">
        <v>1230.3729931960524</v>
      </c>
      <c r="HF46" s="173">
        <f t="shared" si="8"/>
        <v>6.1540185937426486</v>
      </c>
      <c r="HG46" s="583">
        <v>357.518563731938</v>
      </c>
      <c r="HH46" s="1138">
        <v>1440.08953613932</v>
      </c>
      <c r="HI46" s="173">
        <f t="shared" si="9"/>
        <v>47.869624817481963</v>
      </c>
      <c r="HK46" s="563" t="s">
        <v>568</v>
      </c>
      <c r="HL46" s="704">
        <v>1355.0227850000001</v>
      </c>
      <c r="HM46" s="704">
        <v>4448.5227489999997</v>
      </c>
      <c r="HN46" s="776">
        <f t="shared" si="10"/>
        <v>3.2829874141193867</v>
      </c>
      <c r="HO46" s="703">
        <v>1432.1065838257236</v>
      </c>
      <c r="HP46" s="704">
        <v>5017.0563878134581</v>
      </c>
      <c r="HQ46" s="776">
        <f t="shared" si="11"/>
        <v>3.5032702485110532</v>
      </c>
      <c r="HR46" s="1138">
        <v>1590.9978277663899</v>
      </c>
      <c r="HS46" s="1138">
        <v>4689.65431063101</v>
      </c>
      <c r="HT46" s="784">
        <f t="shared" si="12"/>
        <v>2.9476182988978934</v>
      </c>
      <c r="HV46" s="563" t="s">
        <v>568</v>
      </c>
      <c r="HW46" s="172">
        <v>442.34833700000001</v>
      </c>
      <c r="HX46" s="337">
        <v>2016.2257999999999</v>
      </c>
      <c r="HY46" s="787">
        <f t="shared" si="13"/>
        <v>4.5580047020726111</v>
      </c>
      <c r="HZ46" s="704">
        <v>880.00354300000004</v>
      </c>
      <c r="IA46" s="704">
        <v>2394.7859100000001</v>
      </c>
      <c r="IB46" s="787">
        <f t="shared" si="14"/>
        <v>2.7213366685274809</v>
      </c>
      <c r="IC46" s="703">
        <v>338.56521471731344</v>
      </c>
      <c r="ID46" s="704">
        <v>1686.6132073716501</v>
      </c>
      <c r="IE46" s="787">
        <f t="shared" si="15"/>
        <v>4.9816494254434716</v>
      </c>
      <c r="IF46" s="704">
        <v>1087.3873505146678</v>
      </c>
      <c r="IG46" s="704">
        <v>3297.0499007912235</v>
      </c>
      <c r="IH46" s="776">
        <f t="shared" si="16"/>
        <v>3.0320841043724736</v>
      </c>
      <c r="II46" s="1137">
        <v>322.51377284583401</v>
      </c>
      <c r="IJ46" s="1138">
        <v>1502.99829012532</v>
      </c>
      <c r="IK46" s="1170">
        <f t="shared" si="17"/>
        <v>4.6602607909206215</v>
      </c>
      <c r="IL46" s="1138">
        <v>1265.5905393180999</v>
      </c>
      <c r="IM46" s="1138">
        <v>3180.86898930078</v>
      </c>
      <c r="IN46" s="1171">
        <f t="shared" si="18"/>
        <v>2.5133476353375968</v>
      </c>
      <c r="IP46" s="563" t="s">
        <v>568</v>
      </c>
      <c r="IQ46" s="172">
        <v>156.955277</v>
      </c>
      <c r="IR46" s="704">
        <v>312.42690499999998</v>
      </c>
      <c r="IS46" s="704">
        <v>300.41240499999998</v>
      </c>
      <c r="IT46" s="704">
        <v>319.42548900000003</v>
      </c>
      <c r="IU46" s="704">
        <v>265.80270999999999</v>
      </c>
      <c r="IV46" s="704">
        <v>4448.5227489999997</v>
      </c>
      <c r="IW46" s="703">
        <v>123.36802977842729</v>
      </c>
      <c r="IX46" s="704">
        <v>287.11159775395441</v>
      </c>
      <c r="IY46" s="704">
        <v>312.27037274784402</v>
      </c>
      <c r="IZ46" s="704">
        <v>387.20871375764926</v>
      </c>
      <c r="JA46" s="704">
        <v>322.14786978784878</v>
      </c>
      <c r="JB46" s="173">
        <v>5017.0563878134581</v>
      </c>
      <c r="JC46" s="1137">
        <v>177.210530422066</v>
      </c>
      <c r="JD46" s="1138">
        <v>504.55256659438197</v>
      </c>
      <c r="JE46" s="1138">
        <v>455.11838445252903</v>
      </c>
      <c r="JF46" s="1138">
        <v>254.069708310555</v>
      </c>
      <c r="JG46" s="1138">
        <v>200.04663798685999</v>
      </c>
      <c r="JH46" s="1139">
        <v>4689.65431063101</v>
      </c>
      <c r="JJ46" s="563" t="s">
        <v>568</v>
      </c>
      <c r="JK46" s="172">
        <v>476.67549100000002</v>
      </c>
      <c r="JL46" s="337">
        <v>438.57450900000003</v>
      </c>
      <c r="JM46" s="337">
        <v>421.75432699999999</v>
      </c>
      <c r="JN46" s="173">
        <v>18.018457000000001</v>
      </c>
      <c r="JO46" s="703">
        <v>610.53233729263638</v>
      </c>
      <c r="JP46" s="704">
        <v>414.38488536807097</v>
      </c>
      <c r="JQ46" s="704">
        <v>387.53734498010817</v>
      </c>
      <c r="JR46" s="173">
        <v>19.652016184908181</v>
      </c>
      <c r="JS46" s="1137">
        <v>574.90919650707804</v>
      </c>
      <c r="JT46" s="1138">
        <v>822.95424451585404</v>
      </c>
      <c r="JU46" s="1138">
        <v>170.54634356152999</v>
      </c>
      <c r="JV46" s="1139">
        <v>22.588043181930999</v>
      </c>
      <c r="JX46" s="563" t="s">
        <v>568</v>
      </c>
      <c r="JY46" s="703">
        <v>372.66419749665602</v>
      </c>
      <c r="JZ46" s="704">
        <v>491.13487424879099</v>
      </c>
      <c r="KA46" s="704">
        <v>327.00016547558698</v>
      </c>
      <c r="KB46" s="173">
        <v>400.19859054535902</v>
      </c>
      <c r="KC46" s="603"/>
      <c r="KD46" s="563" t="s">
        <v>568</v>
      </c>
      <c r="KE46" s="703">
        <v>3.2044929340497501</v>
      </c>
      <c r="KF46" s="704">
        <v>6.0027101803899603</v>
      </c>
      <c r="KG46" s="704">
        <v>181.60777432859101</v>
      </c>
      <c r="KH46" s="704">
        <v>318.67984177249298</v>
      </c>
      <c r="KI46" s="704">
        <v>362.57207544137498</v>
      </c>
      <c r="KJ46" s="173">
        <v>390.18625538162399</v>
      </c>
      <c r="KK46" s="703">
        <v>25.156935609120701</v>
      </c>
      <c r="KL46" s="704">
        <v>54.1408391285457</v>
      </c>
      <c r="KM46" s="704">
        <v>107.654588033099</v>
      </c>
      <c r="KN46" s="704">
        <v>70.484350854797995</v>
      </c>
      <c r="KO46" s="704">
        <v>36.1380659113631</v>
      </c>
      <c r="KP46" s="173">
        <v>27.0454787218336</v>
      </c>
      <c r="KQ46" s="703">
        <v>28.361428543170401</v>
      </c>
      <c r="KR46" s="704">
        <v>61.143550324320699</v>
      </c>
      <c r="KS46" s="704">
        <v>289.26236236169001</v>
      </c>
      <c r="KT46" s="704">
        <v>391.057707214365</v>
      </c>
      <c r="KU46" s="704">
        <v>398.71014135273799</v>
      </c>
      <c r="KV46" s="173">
        <v>417.23173410345697</v>
      </c>
      <c r="KW46" s="429"/>
      <c r="KX46" s="563" t="s">
        <v>568</v>
      </c>
      <c r="KY46" s="172">
        <f t="shared" si="35"/>
        <v>317.29861000000005</v>
      </c>
      <c r="KZ46" s="337">
        <v>772.12049100000002</v>
      </c>
      <c r="LA46" s="173">
        <v>265.60368399999999</v>
      </c>
      <c r="LB46" s="172">
        <f t="shared" si="36"/>
        <v>391.60236305827243</v>
      </c>
      <c r="LC46" s="704">
        <v>816.52163163528337</v>
      </c>
      <c r="LD46" s="173">
        <v>223.98258913216785</v>
      </c>
      <c r="LE46" s="172">
        <f t="shared" si="37"/>
        <v>384.899697341928</v>
      </c>
      <c r="LF46" s="1138">
        <v>948.38672797552795</v>
      </c>
      <c r="LG46" s="1139">
        <v>254.711399402784</v>
      </c>
      <c r="LH46" s="426"/>
      <c r="LI46" s="563" t="s">
        <v>568</v>
      </c>
      <c r="LJ46" s="172">
        <v>1210.031021</v>
      </c>
      <c r="LK46" s="337">
        <v>1079.7103520000001</v>
      </c>
      <c r="LL46" s="337">
        <v>130.32066900000001</v>
      </c>
      <c r="LM46" s="337">
        <v>225.45366999999999</v>
      </c>
      <c r="LN46" s="337">
        <v>109.98812</v>
      </c>
      <c r="LO46" s="173">
        <v>126.586551</v>
      </c>
      <c r="LP46" s="703">
        <v>1120.3598876723202</v>
      </c>
      <c r="LQ46" s="704">
        <v>954.33188620660303</v>
      </c>
      <c r="LR46" s="704">
        <v>166.02800146571724</v>
      </c>
      <c r="LS46" s="704">
        <v>183.8637385505362</v>
      </c>
      <c r="LT46" s="704">
        <v>77.121872758746974</v>
      </c>
      <c r="LU46" s="173">
        <v>149.45847470241981</v>
      </c>
      <c r="LV46" s="1137">
        <v>1399.7881583472299</v>
      </c>
      <c r="LW46" s="1138">
        <v>1244.3916781662799</v>
      </c>
      <c r="LX46" s="1138">
        <v>155.39648018094999</v>
      </c>
      <c r="LY46" s="1138">
        <v>182.36189878687699</v>
      </c>
      <c r="LZ46" s="1138">
        <v>65.194033362867202</v>
      </c>
      <c r="MA46" s="1139">
        <v>92.624637066612493</v>
      </c>
      <c r="MC46" s="563" t="s">
        <v>568</v>
      </c>
      <c r="MD46" s="172">
        <v>0</v>
      </c>
      <c r="ME46" s="337">
        <v>28.113575999999998</v>
      </c>
      <c r="MF46" s="337">
        <v>255.45095800000001</v>
      </c>
      <c r="MG46" s="337">
        <v>317.22108700000001</v>
      </c>
      <c r="MH46" s="337">
        <v>304.59665899999999</v>
      </c>
      <c r="MI46" s="173">
        <v>174.32807299999999</v>
      </c>
      <c r="MJ46" s="703">
        <v>0</v>
      </c>
      <c r="MK46" s="704">
        <v>36.80911538781757</v>
      </c>
      <c r="ML46" s="704">
        <v>205.17698661836661</v>
      </c>
      <c r="MM46" s="704">
        <v>249.79915280450959</v>
      </c>
      <c r="MN46" s="704">
        <v>288.03601502135024</v>
      </c>
      <c r="MO46" s="173">
        <v>174.51061637455896</v>
      </c>
      <c r="MP46" s="1137">
        <v>0</v>
      </c>
      <c r="MQ46" s="1138">
        <v>72.2371226300465</v>
      </c>
      <c r="MR46" s="1138">
        <v>253.12432759987999</v>
      </c>
      <c r="MS46" s="1138">
        <v>387.79021265139602</v>
      </c>
      <c r="MT46" s="1138">
        <v>350.53731772244998</v>
      </c>
      <c r="MU46" s="1139">
        <v>181.702698577896</v>
      </c>
      <c r="MW46" s="563" t="s">
        <v>568</v>
      </c>
      <c r="MX46" s="172">
        <v>1120.6794689999999</v>
      </c>
      <c r="MY46" s="337">
        <v>1055.7212810000001</v>
      </c>
      <c r="MZ46" s="337">
        <v>64.958186999999995</v>
      </c>
      <c r="NA46" s="703">
        <v>975.49498848690757</v>
      </c>
      <c r="NB46" s="704">
        <v>893.13210400842195</v>
      </c>
      <c r="NC46" s="173">
        <v>82.362884478485654</v>
      </c>
      <c r="ND46" s="1137">
        <v>1263.43340359473</v>
      </c>
      <c r="NE46" s="1138">
        <v>1138.1777197347101</v>
      </c>
      <c r="NF46" s="1139">
        <v>125.25568386002</v>
      </c>
      <c r="NH46" s="563" t="s">
        <v>568</v>
      </c>
      <c r="NI46" s="703">
        <v>681.02737399191653</v>
      </c>
      <c r="NJ46" s="173">
        <v>212.10473001650547</v>
      </c>
      <c r="NK46" s="703">
        <v>46.578497241051458</v>
      </c>
      <c r="NL46" s="704">
        <v>35.784387237434188</v>
      </c>
      <c r="NM46" s="173">
        <v>0</v>
      </c>
      <c r="NN46" s="1137">
        <v>938.39953319665699</v>
      </c>
      <c r="NO46" s="1139">
        <v>199.77818653805332</v>
      </c>
      <c r="NP46" s="1137">
        <v>90.841416131339798</v>
      </c>
      <c r="NQ46" s="1138">
        <v>34.414267728680102</v>
      </c>
      <c r="NR46" s="1139">
        <v>0</v>
      </c>
      <c r="NS46" s="136"/>
      <c r="NT46" s="563" t="s">
        <v>568</v>
      </c>
      <c r="NU46" s="703">
        <v>127.45417676930244</v>
      </c>
      <c r="NV46" s="704">
        <v>28.07404686477749</v>
      </c>
      <c r="NW46" s="704">
        <v>20.60775094068439</v>
      </c>
      <c r="NX46" s="173">
        <v>35.968755441741159</v>
      </c>
      <c r="NY46" s="1137">
        <v>121.949526882588</v>
      </c>
      <c r="NZ46" s="1138">
        <v>14.6077741430098</v>
      </c>
      <c r="OA46" s="1138">
        <v>13.7596969382047</v>
      </c>
      <c r="OB46" s="1139">
        <v>49.461188574250798</v>
      </c>
      <c r="OC46" s="553"/>
      <c r="OD46" s="563" t="s">
        <v>568</v>
      </c>
      <c r="OE46" s="703">
        <v>50.026476401300201</v>
      </c>
      <c r="OF46" s="704">
        <v>106.15487931823201</v>
      </c>
      <c r="OG46" s="704">
        <v>74.346221506344904</v>
      </c>
      <c r="OH46" s="704">
        <v>86.675882091672094</v>
      </c>
      <c r="OI46" s="704">
        <v>167.871094090594</v>
      </c>
      <c r="OJ46" s="704">
        <v>16.0651945525155</v>
      </c>
      <c r="OK46" s="173">
        <v>10.404252555623399</v>
      </c>
      <c r="OL46" s="703">
        <v>75.761248317234802</v>
      </c>
      <c r="OM46" s="704">
        <v>106.15487931823201</v>
      </c>
      <c r="ON46" s="704">
        <v>74.346221506344904</v>
      </c>
      <c r="OO46" s="704">
        <v>86.675882091672094</v>
      </c>
      <c r="OP46" s="704">
        <v>312.65083996170102</v>
      </c>
      <c r="OQ46" s="704">
        <v>242.13769480333701</v>
      </c>
      <c r="OR46" s="173">
        <v>1839.5130100378699</v>
      </c>
      <c r="OT46" s="563" t="s">
        <v>568</v>
      </c>
      <c r="OU46" s="172">
        <v>688.9308759999999</v>
      </c>
      <c r="OV46" s="337">
        <v>409.366536</v>
      </c>
      <c r="OW46" s="337">
        <v>385.72625299999999</v>
      </c>
      <c r="OX46" s="173">
        <v>596.69387200000006</v>
      </c>
      <c r="OY46" s="703">
        <v>692.34248441961483</v>
      </c>
      <c r="OZ46" s="704">
        <v>421.10351489514682</v>
      </c>
      <c r="PA46" s="704">
        <v>398.38549961187402</v>
      </c>
      <c r="PB46" s="173">
        <v>670.95818898527818</v>
      </c>
      <c r="PC46" s="1137">
        <v>421.33395632698</v>
      </c>
      <c r="PD46" s="1138">
        <v>437.560832852364</v>
      </c>
      <c r="PE46" s="1138">
        <v>418.35711384831001</v>
      </c>
      <c r="PF46" s="1139">
        <v>922.70910057652304</v>
      </c>
      <c r="PH46" s="563" t="s">
        <v>568</v>
      </c>
      <c r="PI46" s="703">
        <v>165.56992129845241</v>
      </c>
      <c r="PJ46" s="704">
        <v>209.156722099348</v>
      </c>
      <c r="PK46" s="704">
        <v>180.57456252618101</v>
      </c>
      <c r="PL46" s="173">
        <v>397.76337566072203</v>
      </c>
      <c r="PM46" s="703">
        <v>255.7640350285277</v>
      </c>
      <c r="PN46" s="704">
        <v>228.404110753016</v>
      </c>
      <c r="PO46" s="704">
        <v>237.782551322129</v>
      </c>
      <c r="PP46" s="173">
        <v>524.94572491580095</v>
      </c>
      <c r="PQ46" s="65"/>
      <c r="PR46" s="563" t="s">
        <v>568</v>
      </c>
      <c r="PS46" s="1038">
        <v>15.787716315762101</v>
      </c>
      <c r="PT46" s="1039">
        <v>49.828788044215102</v>
      </c>
      <c r="PU46" s="1039">
        <v>116.51933809177901</v>
      </c>
      <c r="PV46" s="1039">
        <v>17.099320842029201</v>
      </c>
      <c r="PW46" s="1039">
        <v>839.01332545967705</v>
      </c>
      <c r="PX46" s="1040">
        <v>226.18491585665299</v>
      </c>
      <c r="PZ46" s="563" t="s">
        <v>568</v>
      </c>
      <c r="QA46" s="1038">
        <v>789.81217489163396</v>
      </c>
      <c r="QB46" s="1039">
        <v>473.62122870309702</v>
      </c>
      <c r="QC46" s="1039">
        <v>386.642094635251</v>
      </c>
      <c r="QD46" s="1039">
        <v>46.0984600794066</v>
      </c>
      <c r="QE46" s="1039">
        <v>40.880673988438502</v>
      </c>
      <c r="QF46" s="1040">
        <v>0</v>
      </c>
    </row>
    <row r="47" spans="1:448" ht="13.5" customHeight="1">
      <c r="A47" s="593" t="s">
        <v>512</v>
      </c>
      <c r="B47" s="559" t="s">
        <v>569</v>
      </c>
      <c r="C47" s="1103">
        <v>2258.9417570000001</v>
      </c>
      <c r="D47" s="690">
        <v>2106.5200368441083</v>
      </c>
      <c r="E47" s="691">
        <v>2323.8398429424701</v>
      </c>
      <c r="F47" s="428"/>
      <c r="G47" s="563" t="s">
        <v>569</v>
      </c>
      <c r="H47" s="686">
        <f t="shared" si="5"/>
        <v>-1.3874675045623341E-2</v>
      </c>
      <c r="I47" s="668">
        <f t="shared" si="6"/>
        <v>1.9830790209182991E-2</v>
      </c>
      <c r="J47" s="612"/>
      <c r="K47" s="63"/>
      <c r="L47" s="559" t="s">
        <v>569</v>
      </c>
      <c r="M47" s="636">
        <v>17</v>
      </c>
      <c r="N47" s="637">
        <v>16</v>
      </c>
      <c r="O47" s="637">
        <v>26</v>
      </c>
      <c r="P47" s="637">
        <v>25</v>
      </c>
      <c r="Q47" s="637">
        <v>18</v>
      </c>
      <c r="R47" s="637">
        <v>29</v>
      </c>
      <c r="S47" s="637">
        <v>24</v>
      </c>
      <c r="T47" s="637">
        <v>11</v>
      </c>
      <c r="U47" s="1138">
        <v>21</v>
      </c>
      <c r="V47" s="1138">
        <v>10</v>
      </c>
      <c r="W47" s="1139">
        <v>21</v>
      </c>
      <c r="X47" s="563" t="s">
        <v>569</v>
      </c>
      <c r="Y47" s="666">
        <v>16.5</v>
      </c>
      <c r="Z47" s="667">
        <v>25.5</v>
      </c>
      <c r="AA47" s="667">
        <v>23.5</v>
      </c>
      <c r="AB47" s="667">
        <v>17.5</v>
      </c>
      <c r="AC47" s="667">
        <v>17.5</v>
      </c>
      <c r="AD47" s="668">
        <v>0.54545454545454541</v>
      </c>
      <c r="AE47" s="668">
        <v>-7.8431372549019607E-2</v>
      </c>
      <c r="AF47" s="668">
        <v>-0.25531914893617019</v>
      </c>
      <c r="AG47" s="1213">
        <v>-7.8431372549019607E-2</v>
      </c>
      <c r="AN47" s="563" t="s">
        <v>569</v>
      </c>
      <c r="AO47" s="636">
        <v>0</v>
      </c>
      <c r="AP47" s="637">
        <v>45.786439000000001</v>
      </c>
      <c r="AQ47" s="637">
        <v>241.64574300000001</v>
      </c>
      <c r="AR47" s="637">
        <v>308.13143100000002</v>
      </c>
      <c r="AS47" s="637">
        <v>270.28337299999998</v>
      </c>
      <c r="AT47" s="637">
        <v>148.58217999999999</v>
      </c>
      <c r="AU47" s="637">
        <v>558.19820300000003</v>
      </c>
      <c r="AV47" s="173">
        <v>425.91190399999999</v>
      </c>
      <c r="AW47" s="636">
        <v>0</v>
      </c>
      <c r="AX47" s="637">
        <v>26.220326314595297</v>
      </c>
      <c r="AY47" s="637">
        <v>177.08618744457732</v>
      </c>
      <c r="AZ47" s="637">
        <v>276.31870503925921</v>
      </c>
      <c r="BA47" s="637">
        <v>262.42801146870227</v>
      </c>
      <c r="BB47" s="637">
        <v>175.48993206065867</v>
      </c>
      <c r="BC47" s="637">
        <v>560.05822235194034</v>
      </c>
      <c r="BD47" s="173">
        <v>411.55429194782198</v>
      </c>
      <c r="BE47" s="1137">
        <v>0</v>
      </c>
      <c r="BF47" s="1138">
        <v>57.767932771425301</v>
      </c>
      <c r="BG47" s="1138">
        <v>202.996236284231</v>
      </c>
      <c r="BH47" s="1138">
        <v>340.17291850959401</v>
      </c>
      <c r="BI47" s="1138">
        <v>295.70099061662802</v>
      </c>
      <c r="BJ47" s="1138">
        <v>158.601010071768</v>
      </c>
      <c r="BK47" s="1138">
        <v>601.43195521888094</v>
      </c>
      <c r="BL47" s="1139">
        <v>439.69664196846901</v>
      </c>
      <c r="BN47" s="563" t="s">
        <v>569</v>
      </c>
      <c r="BO47" s="647">
        <v>259.40248500000001</v>
      </c>
      <c r="BP47" s="648">
        <v>640.43739300000004</v>
      </c>
      <c r="BQ47" s="648">
        <v>348.91078800000003</v>
      </c>
      <c r="BR47" s="648">
        <v>390.70493699999997</v>
      </c>
      <c r="BS47" s="648">
        <v>228.64373399999999</v>
      </c>
      <c r="BT47" s="173">
        <v>390.84242</v>
      </c>
      <c r="BU47" s="647">
        <v>214.36436256109133</v>
      </c>
      <c r="BV47" s="648">
        <v>601.03980645649699</v>
      </c>
      <c r="BW47" s="648">
        <v>331.55143198236669</v>
      </c>
      <c r="BX47" s="648">
        <v>351.23673740853599</v>
      </c>
      <c r="BY47" s="648">
        <v>285.63752571935754</v>
      </c>
      <c r="BZ47" s="173">
        <v>322.69017271625984</v>
      </c>
      <c r="CA47" s="1137">
        <v>229.47215953224801</v>
      </c>
      <c r="CB47" s="1138">
        <v>731.57396273401196</v>
      </c>
      <c r="CC47" s="1138">
        <v>395.10348224563</v>
      </c>
      <c r="CD47" s="1138">
        <v>294.15634427004602</v>
      </c>
      <c r="CE47" s="1138">
        <v>279.94514283273998</v>
      </c>
      <c r="CF47" s="1139">
        <v>393.58875132779798</v>
      </c>
      <c r="CG47" s="429"/>
      <c r="CH47" s="563" t="s">
        <v>569</v>
      </c>
      <c r="CI47" s="172">
        <v>444.58911799999998</v>
      </c>
      <c r="CJ47" s="337">
        <v>1276.873748</v>
      </c>
      <c r="CK47" s="337">
        <v>537.47889099999998</v>
      </c>
      <c r="CL47" s="647">
        <v>457.5110079777113</v>
      </c>
      <c r="CM47" s="648">
        <v>1158.4382391989916</v>
      </c>
      <c r="CN47" s="648">
        <v>490.57078966740562</v>
      </c>
      <c r="CO47" s="1137">
        <v>470.88702474075097</v>
      </c>
      <c r="CP47" s="1138">
        <v>1273.9566503343799</v>
      </c>
      <c r="CQ47" s="1139">
        <v>578.99616786734202</v>
      </c>
      <c r="CR47" s="429"/>
      <c r="CS47" s="232" t="s">
        <v>645</v>
      </c>
      <c r="CT47" s="242">
        <f t="shared" si="38"/>
        <v>-8.0000594037611519E-2</v>
      </c>
      <c r="CU47" s="135">
        <f t="shared" si="39"/>
        <v>0.1039686422600747</v>
      </c>
      <c r="CV47" s="318">
        <f t="shared" si="40"/>
        <v>-0.14571791038626836</v>
      </c>
      <c r="CW47" s="135">
        <f t="shared" si="41"/>
        <v>0.14926521597547684</v>
      </c>
      <c r="CX47" s="319">
        <f t="shared" si="42"/>
        <v>-0.11577274984261812</v>
      </c>
      <c r="CY47" s="135">
        <f t="shared" si="43"/>
        <v>0.11184870659974393</v>
      </c>
      <c r="CZ47" s="318">
        <f t="shared" si="44"/>
        <v>-0.15452823780809713</v>
      </c>
      <c r="DA47" s="238">
        <f t="shared" si="45"/>
        <v>0.14598524231811297</v>
      </c>
      <c r="DB47" s="426"/>
      <c r="DC47" s="426"/>
      <c r="DD47" s="426"/>
      <c r="DE47" s="426"/>
      <c r="DG47" s="563" t="s">
        <v>569</v>
      </c>
      <c r="DH47" s="1147" t="s">
        <v>759</v>
      </c>
      <c r="DI47" s="1150" t="s">
        <v>943</v>
      </c>
      <c r="DJ47" s="704" t="s">
        <v>944</v>
      </c>
      <c r="DK47" s="704" t="s">
        <v>945</v>
      </c>
      <c r="DL47" s="337" t="s">
        <v>946</v>
      </c>
      <c r="DM47" s="174" t="s">
        <v>859</v>
      </c>
      <c r="DO47" s="559" t="s">
        <v>569</v>
      </c>
      <c r="DP47" s="704">
        <v>1239.1736410000001</v>
      </c>
      <c r="DQ47" s="337">
        <v>1249.0434711526475</v>
      </c>
      <c r="DR47" s="1139">
        <v>1355.9746930802501</v>
      </c>
      <c r="DS47" s="63"/>
      <c r="DT47" s="563" t="s">
        <v>569</v>
      </c>
      <c r="DU47" s="172">
        <v>2089.9419640000001</v>
      </c>
      <c r="DV47" s="337">
        <v>1963.5201486004289</v>
      </c>
      <c r="DW47" s="1139">
        <v>2117.8396337731601</v>
      </c>
      <c r="DX47" s="63"/>
      <c r="DY47" s="563" t="s">
        <v>569</v>
      </c>
      <c r="DZ47" s="1089">
        <f t="shared" si="32"/>
        <v>1.6865610232908432</v>
      </c>
      <c r="EA47" s="787">
        <f t="shared" si="33"/>
        <v>1.572019064147099</v>
      </c>
      <c r="EB47" s="776">
        <f t="shared" si="34"/>
        <v>1.5618577873029824</v>
      </c>
      <c r="ED47" s="541"/>
      <c r="EE47" s="563" t="s">
        <v>569</v>
      </c>
      <c r="EF47" s="735">
        <v>728.26561800000002</v>
      </c>
      <c r="EG47" s="736">
        <v>31.314688</v>
      </c>
      <c r="EH47" s="736">
        <v>242.84689299999999</v>
      </c>
      <c r="EI47" s="736">
        <v>173.61425500000001</v>
      </c>
      <c r="EJ47" s="736">
        <v>63.132185999999997</v>
      </c>
      <c r="EK47" s="703">
        <v>804.24977569451175</v>
      </c>
      <c r="EL47" s="704">
        <v>41.465051254099535</v>
      </c>
      <c r="EM47" s="704">
        <v>212.45084327436601</v>
      </c>
      <c r="EN47" s="704">
        <v>113.8643521061386</v>
      </c>
      <c r="EO47" s="704">
        <v>77.013448823531789</v>
      </c>
      <c r="EP47" s="1137">
        <v>859.24368969140801</v>
      </c>
      <c r="EQ47" s="1138">
        <v>45.786436325863903</v>
      </c>
      <c r="ER47" s="1138">
        <v>254.17625212171799</v>
      </c>
      <c r="ES47" s="1138">
        <v>128.35468966224099</v>
      </c>
      <c r="ET47" s="1139">
        <v>68.413625279014298</v>
      </c>
      <c r="EV47" s="563" t="s">
        <v>569</v>
      </c>
      <c r="EW47" s="703">
        <v>146.49293700000001</v>
      </c>
      <c r="EX47" s="704">
        <v>223.257587</v>
      </c>
      <c r="EY47" s="704">
        <v>171.61090899999999</v>
      </c>
      <c r="EZ47" s="704">
        <v>186.90418500000001</v>
      </c>
      <c r="FA47" s="703">
        <v>347.06759499999998</v>
      </c>
      <c r="FB47" s="704">
        <v>821.868515</v>
      </c>
      <c r="FC47" s="704">
        <v>412.606044</v>
      </c>
      <c r="FD47" s="704">
        <v>248.99732399999999</v>
      </c>
      <c r="FE47" s="703">
        <v>166.94956064767143</v>
      </c>
      <c r="FF47" s="704">
        <v>291.70498024122833</v>
      </c>
      <c r="FG47" s="704">
        <v>175.32972270274487</v>
      </c>
      <c r="FH47" s="173">
        <v>170.26551210286706</v>
      </c>
      <c r="FI47" s="703">
        <v>359.03826172095557</v>
      </c>
      <c r="FJ47" s="704">
        <v>697.01052418661675</v>
      </c>
      <c r="FK47" s="746">
        <v>463.43288870556228</v>
      </c>
      <c r="FL47" s="747">
        <v>229.67411142620301</v>
      </c>
      <c r="FM47" s="1137">
        <v>230.049301858044</v>
      </c>
      <c r="FN47" s="1138">
        <v>257.68046307278303</v>
      </c>
      <c r="FO47" s="1138">
        <v>199.10828053981899</v>
      </c>
      <c r="FP47" s="1139">
        <v>172.40564422076099</v>
      </c>
      <c r="FQ47" s="1137">
        <v>448.32854130537601</v>
      </c>
      <c r="FR47" s="1138">
        <v>756.42952892315395</v>
      </c>
      <c r="FS47" s="1138">
        <v>438.23392182871498</v>
      </c>
      <c r="FT47" s="1139">
        <v>263.37550046059698</v>
      </c>
      <c r="FV47" s="559" t="s">
        <v>569</v>
      </c>
      <c r="FW47" s="337">
        <v>272.94375500000001</v>
      </c>
      <c r="FX47" s="337">
        <v>92.560288</v>
      </c>
      <c r="FY47" s="337">
        <v>88.612808000000001</v>
      </c>
      <c r="FZ47" s="173">
        <v>25.476483999999999</v>
      </c>
      <c r="GA47" s="703">
        <v>232.56144921606497</v>
      </c>
      <c r="GB47" s="704">
        <v>85.799376302264136</v>
      </c>
      <c r="GC47" s="704">
        <v>64.879874173238406</v>
      </c>
      <c r="GD47" s="173">
        <v>23.49456779654026</v>
      </c>
      <c r="GE47" s="1137">
        <v>268.62584543071802</v>
      </c>
      <c r="GF47" s="1138">
        <v>102.328212951156</v>
      </c>
      <c r="GG47" s="1138">
        <v>62.8445182677331</v>
      </c>
      <c r="GH47" s="1139">
        <v>17.145990413366459</v>
      </c>
      <c r="GJ47" s="563" t="s">
        <v>569</v>
      </c>
      <c r="GK47" s="703">
        <v>1395.498488</v>
      </c>
      <c r="GL47" s="704">
        <v>1435.4990238558626</v>
      </c>
      <c r="GM47" s="1139">
        <v>1578.00137683499</v>
      </c>
      <c r="GO47" s="563" t="s">
        <v>569</v>
      </c>
      <c r="GP47" s="703">
        <v>1239.1736410000001</v>
      </c>
      <c r="GQ47" s="704">
        <v>27.731055000000001</v>
      </c>
      <c r="GR47" s="173">
        <v>128.59379200000001</v>
      </c>
      <c r="GS47" s="703">
        <v>1249.0434711526475</v>
      </c>
      <c r="GT47" s="704">
        <v>24.629378239884701</v>
      </c>
      <c r="GU47" s="173">
        <v>161.82617446333023</v>
      </c>
      <c r="GV47" s="1137">
        <v>1355.9746930802501</v>
      </c>
      <c r="GW47" s="1138">
        <v>39.477859020344503</v>
      </c>
      <c r="GX47" s="1139">
        <v>182.54882473440099</v>
      </c>
      <c r="GZ47" s="563" t="s">
        <v>569</v>
      </c>
      <c r="HA47" s="703">
        <v>295.30007000000001</v>
      </c>
      <c r="HB47" s="704">
        <v>1075.5890280000001</v>
      </c>
      <c r="HC47" s="173">
        <f t="shared" si="7"/>
        <v>24.609389999999848</v>
      </c>
      <c r="HD47" s="703">
        <v>294.15363329735061</v>
      </c>
      <c r="HE47" s="704">
        <v>1131.1255180439762</v>
      </c>
      <c r="HF47" s="173">
        <f t="shared" si="8"/>
        <v>10.219872514535837</v>
      </c>
      <c r="HG47" s="583">
        <v>243.36487253602101</v>
      </c>
      <c r="HH47" s="1138">
        <v>1326.0534599698799</v>
      </c>
      <c r="HI47" s="173">
        <f t="shared" si="9"/>
        <v>8.5830443290890344</v>
      </c>
      <c r="HK47" s="563" t="s">
        <v>569</v>
      </c>
      <c r="HL47" s="704">
        <v>1239.1736410000001</v>
      </c>
      <c r="HM47" s="704">
        <v>3639.4493929999999</v>
      </c>
      <c r="HN47" s="776">
        <f t="shared" si="10"/>
        <v>2.9369971024101211</v>
      </c>
      <c r="HO47" s="703">
        <v>1249.0434711526475</v>
      </c>
      <c r="HP47" s="704">
        <v>3438.321313219994</v>
      </c>
      <c r="HQ47" s="776">
        <f t="shared" si="11"/>
        <v>2.7527635287561512</v>
      </c>
      <c r="HR47" s="1138">
        <v>1355.9746930802501</v>
      </c>
      <c r="HS47" s="1138">
        <v>3892.4131019995898</v>
      </c>
      <c r="HT47" s="784">
        <f t="shared" si="12"/>
        <v>2.8705647102878689</v>
      </c>
      <c r="HV47" s="563" t="s">
        <v>569</v>
      </c>
      <c r="HW47" s="172">
        <v>288.57154200000002</v>
      </c>
      <c r="HX47" s="337">
        <v>1365.9436410000001</v>
      </c>
      <c r="HY47" s="787">
        <f t="shared" si="13"/>
        <v>4.7334662022910079</v>
      </c>
      <c r="HZ47" s="704">
        <v>925.99270999999999</v>
      </c>
      <c r="IA47" s="704">
        <v>2241.6912849999999</v>
      </c>
      <c r="IB47" s="787">
        <f t="shared" si="14"/>
        <v>2.4208519794934453</v>
      </c>
      <c r="IC47" s="703">
        <v>284.13898000256393</v>
      </c>
      <c r="ID47" s="704">
        <v>1357.4665586174117</v>
      </c>
      <c r="IE47" s="787">
        <f t="shared" si="15"/>
        <v>4.7774738918439228</v>
      </c>
      <c r="IF47" s="704">
        <v>958.09124458194083</v>
      </c>
      <c r="IG47" s="704">
        <v>2074.0415080344401</v>
      </c>
      <c r="IH47" s="776">
        <f t="shared" si="16"/>
        <v>2.164764076243531</v>
      </c>
      <c r="II47" s="1137">
        <v>221.50369472537801</v>
      </c>
      <c r="IJ47" s="1138">
        <v>1154.1463376623601</v>
      </c>
      <c r="IK47" s="1170">
        <f t="shared" si="17"/>
        <v>5.2105060328374186</v>
      </c>
      <c r="IL47" s="1138">
        <v>1125.8879540257799</v>
      </c>
      <c r="IM47" s="1138">
        <v>2721.1006756790598</v>
      </c>
      <c r="IN47" s="1171">
        <f t="shared" si="18"/>
        <v>2.416848555799322</v>
      </c>
      <c r="IP47" s="563" t="s">
        <v>569</v>
      </c>
      <c r="IQ47" s="172">
        <v>288.95478900000001</v>
      </c>
      <c r="IR47" s="704">
        <v>316.277513</v>
      </c>
      <c r="IS47" s="704">
        <v>246.81879499999999</v>
      </c>
      <c r="IT47" s="704">
        <v>133.39007100000001</v>
      </c>
      <c r="IU47" s="704">
        <v>253.732474</v>
      </c>
      <c r="IV47" s="704">
        <v>3639.4493929999999</v>
      </c>
      <c r="IW47" s="703">
        <v>314.24634705755528</v>
      </c>
      <c r="IX47" s="704">
        <v>387.57755175534464</v>
      </c>
      <c r="IY47" s="704">
        <v>201.06789868642463</v>
      </c>
      <c r="IZ47" s="704">
        <v>153.27722315361208</v>
      </c>
      <c r="JA47" s="704">
        <v>192.87445049971092</v>
      </c>
      <c r="JB47" s="173">
        <v>3438.321313219994</v>
      </c>
      <c r="JC47" s="1137">
        <v>211.91509504233301</v>
      </c>
      <c r="JD47" s="1138">
        <v>484.44655297608602</v>
      </c>
      <c r="JE47" s="1138">
        <v>279.81135701523402</v>
      </c>
      <c r="JF47" s="1138">
        <v>205.39767467357501</v>
      </c>
      <c r="JG47" s="1138">
        <v>174.40401337301699</v>
      </c>
      <c r="JH47" s="1139">
        <v>3892.4131019995898</v>
      </c>
      <c r="JJ47" s="563" t="s">
        <v>569</v>
      </c>
      <c r="JK47" s="172">
        <v>544.00379299999997</v>
      </c>
      <c r="JL47" s="337">
        <v>631.51455999999996</v>
      </c>
      <c r="JM47" s="337">
        <v>52.044839000000003</v>
      </c>
      <c r="JN47" s="173">
        <v>11.610448999999999</v>
      </c>
      <c r="JO47" s="703">
        <v>403.64896267986592</v>
      </c>
      <c r="JP47" s="704">
        <v>591.49125524893532</v>
      </c>
      <c r="JQ47" s="704">
        <v>239.57412667157561</v>
      </c>
      <c r="JR47" s="173">
        <v>14.329126552270736</v>
      </c>
      <c r="JS47" s="1137">
        <v>372.33500178996297</v>
      </c>
      <c r="JT47" s="1138">
        <v>799.69836462556202</v>
      </c>
      <c r="JU47" s="1138">
        <v>175.84710552491299</v>
      </c>
      <c r="JV47" s="1139">
        <v>8.0942211398072494</v>
      </c>
      <c r="JX47" s="563" t="s">
        <v>569</v>
      </c>
      <c r="JY47" s="703">
        <v>339.47537288747799</v>
      </c>
      <c r="JZ47" s="704">
        <v>502.041414017899</v>
      </c>
      <c r="KA47" s="704">
        <v>199.24165202296101</v>
      </c>
      <c r="KB47" s="173">
        <v>315.21625415190698</v>
      </c>
      <c r="KC47" s="603"/>
      <c r="KD47" s="563" t="s">
        <v>569</v>
      </c>
      <c r="KE47" s="703">
        <v>25.3362671921501</v>
      </c>
      <c r="KF47" s="704">
        <v>51.987926375886097</v>
      </c>
      <c r="KG47" s="704">
        <v>164.27411541164801</v>
      </c>
      <c r="KH47" s="704">
        <v>609.09787966244903</v>
      </c>
      <c r="KI47" s="704">
        <v>84.740937484287301</v>
      </c>
      <c r="KJ47" s="173">
        <v>170.87664814131401</v>
      </c>
      <c r="KK47" s="703">
        <v>48.877951099392099</v>
      </c>
      <c r="KL47" s="704">
        <v>71.188537506333802</v>
      </c>
      <c r="KM47" s="704">
        <v>66.763934729377297</v>
      </c>
      <c r="KN47" s="704">
        <v>23.5457332438923</v>
      </c>
      <c r="KO47" s="704">
        <v>9.2201949621406492</v>
      </c>
      <c r="KP47" s="173">
        <v>1.9073431842417099</v>
      </c>
      <c r="KQ47" s="703">
        <v>74.214218291542295</v>
      </c>
      <c r="KR47" s="704">
        <v>123.17646388222001</v>
      </c>
      <c r="KS47" s="704">
        <v>231.99172173314699</v>
      </c>
      <c r="KT47" s="704">
        <v>639.31931405118803</v>
      </c>
      <c r="KU47" s="704">
        <v>93.961132446427897</v>
      </c>
      <c r="KV47" s="173">
        <v>173.737662917677</v>
      </c>
      <c r="KW47" s="429"/>
      <c r="KX47" s="563" t="s">
        <v>569</v>
      </c>
      <c r="KY47" s="172">
        <f t="shared" si="35"/>
        <v>383.50205800000015</v>
      </c>
      <c r="KZ47" s="337">
        <v>608.43909799999994</v>
      </c>
      <c r="LA47" s="173">
        <v>247.232485</v>
      </c>
      <c r="LB47" s="172">
        <f t="shared" si="36"/>
        <v>451.27581910286142</v>
      </c>
      <c r="LC47" s="704">
        <v>649.63291367202805</v>
      </c>
      <c r="LD47" s="173">
        <v>148.13473837775805</v>
      </c>
      <c r="LE47" s="172">
        <f t="shared" si="37"/>
        <v>436.09963274850509</v>
      </c>
      <c r="LF47" s="1138">
        <v>758.414555189721</v>
      </c>
      <c r="LG47" s="1139">
        <v>161.460505142024</v>
      </c>
      <c r="LH47" s="426"/>
      <c r="LI47" s="563" t="s">
        <v>569</v>
      </c>
      <c r="LJ47" s="172">
        <v>1008.329463</v>
      </c>
      <c r="LK47" s="337">
        <v>897.136256</v>
      </c>
      <c r="LL47" s="337">
        <v>111.193207</v>
      </c>
      <c r="LM47" s="337">
        <v>295.729062</v>
      </c>
      <c r="LN47" s="337">
        <v>81.958025000000006</v>
      </c>
      <c r="LO47" s="173">
        <v>76.043830999999997</v>
      </c>
      <c r="LP47" s="703">
        <v>929.29666214965118</v>
      </c>
      <c r="LQ47" s="704">
        <v>725.3578465821397</v>
      </c>
      <c r="LR47" s="704">
        <v>203.93881556751151</v>
      </c>
      <c r="LS47" s="704">
        <v>289.91353017109242</v>
      </c>
      <c r="LT47" s="704">
        <v>83.147603972994574</v>
      </c>
      <c r="LU47" s="173">
        <v>99.227088321873367</v>
      </c>
      <c r="LV47" s="1137">
        <v>1070.4074213863</v>
      </c>
      <c r="LW47" s="1138">
        <v>924.00769944059005</v>
      </c>
      <c r="LX47" s="1138">
        <v>146.399721945707</v>
      </c>
      <c r="LY47" s="1138">
        <v>289.174687991273</v>
      </c>
      <c r="LZ47" s="1138">
        <v>65.743198979730195</v>
      </c>
      <c r="MA47" s="1139">
        <v>90.046207185583299</v>
      </c>
      <c r="MC47" s="563" t="s">
        <v>569</v>
      </c>
      <c r="MD47" s="172">
        <v>0</v>
      </c>
      <c r="ME47" s="337">
        <v>45.786439000000001</v>
      </c>
      <c r="MF47" s="337">
        <v>227.06396899999999</v>
      </c>
      <c r="MG47" s="337">
        <v>272.66467599999999</v>
      </c>
      <c r="MH47" s="337">
        <v>241.18451899999999</v>
      </c>
      <c r="MI47" s="173">
        <v>109.436654</v>
      </c>
      <c r="MJ47" s="703">
        <v>0</v>
      </c>
      <c r="MK47" s="704">
        <v>15.193231621684562</v>
      </c>
      <c r="ML47" s="704">
        <v>170.40597241550455</v>
      </c>
      <c r="MM47" s="704">
        <v>198.67081030688647</v>
      </c>
      <c r="MN47" s="704">
        <v>210.52674725473184</v>
      </c>
      <c r="MO47" s="173">
        <v>129.5610857648449</v>
      </c>
      <c r="MP47" s="1137">
        <v>0</v>
      </c>
      <c r="MQ47" s="1138">
        <v>48.746625519261798</v>
      </c>
      <c r="MR47" s="1138">
        <v>189.85642133009</v>
      </c>
      <c r="MS47" s="1138">
        <v>308.12750858039601</v>
      </c>
      <c r="MT47" s="1138">
        <v>243.91080591511201</v>
      </c>
      <c r="MU47" s="1139">
        <v>135.36634012650001</v>
      </c>
      <c r="MW47" s="563" t="s">
        <v>569</v>
      </c>
      <c r="MX47" s="172">
        <v>908.65881200000001</v>
      </c>
      <c r="MY47" s="337">
        <v>801.82732699999997</v>
      </c>
      <c r="MZ47" s="337">
        <v>106.831484</v>
      </c>
      <c r="NA47" s="703">
        <v>736.02947065515127</v>
      </c>
      <c r="NB47" s="704">
        <v>665.42995056658549</v>
      </c>
      <c r="NC47" s="173">
        <v>70.599520088565697</v>
      </c>
      <c r="ND47" s="1137">
        <v>924.96137103271099</v>
      </c>
      <c r="NE47" s="1138">
        <v>825.34490302166</v>
      </c>
      <c r="NF47" s="1139">
        <v>99.616468011051296</v>
      </c>
      <c r="NH47" s="563" t="s">
        <v>569</v>
      </c>
      <c r="NI47" s="703">
        <v>540.26589482802285</v>
      </c>
      <c r="NJ47" s="173">
        <v>125.16405573856272</v>
      </c>
      <c r="NK47" s="703">
        <v>39.697359300363672</v>
      </c>
      <c r="NL47" s="704">
        <v>30.902160788202035</v>
      </c>
      <c r="NM47" s="173">
        <v>0</v>
      </c>
      <c r="NN47" s="1137">
        <v>605.28393211725904</v>
      </c>
      <c r="NO47" s="1139">
        <v>220.06097090440142</v>
      </c>
      <c r="NP47" s="1137">
        <v>60.735245925316903</v>
      </c>
      <c r="NQ47" s="1138">
        <v>37.927550493613602</v>
      </c>
      <c r="NR47" s="1139">
        <v>0.95367159212085395</v>
      </c>
      <c r="NS47" s="136"/>
      <c r="NT47" s="563" t="s">
        <v>569</v>
      </c>
      <c r="NU47" s="703">
        <v>65.442006615219213</v>
      </c>
      <c r="NV47" s="704">
        <v>5.2678649619690621</v>
      </c>
      <c r="NW47" s="704">
        <v>1.994273216967692</v>
      </c>
      <c r="NX47" s="173">
        <v>52.459910944406744</v>
      </c>
      <c r="NY47" s="1137">
        <v>148.80438734066101</v>
      </c>
      <c r="NZ47" s="1138">
        <v>22.815180075811899</v>
      </c>
      <c r="OA47" s="1138">
        <v>0</v>
      </c>
      <c r="OB47" s="1139">
        <v>48.441403487928497</v>
      </c>
      <c r="OC47" s="553"/>
      <c r="OD47" s="563" t="s">
        <v>569</v>
      </c>
      <c r="OE47" s="703">
        <v>48.612476202954703</v>
      </c>
      <c r="OF47" s="704">
        <v>75.187768981455605</v>
      </c>
      <c r="OG47" s="704">
        <v>66.867122543413799</v>
      </c>
      <c r="OH47" s="704">
        <v>51.753092114835901</v>
      </c>
      <c r="OI47" s="704">
        <v>339.43534758644103</v>
      </c>
      <c r="OJ47" s="704">
        <v>34.931703736239399</v>
      </c>
      <c r="OK47" s="173">
        <v>30.248735952203699</v>
      </c>
      <c r="OL47" s="703">
        <v>65.668547408026697</v>
      </c>
      <c r="OM47" s="704">
        <v>75.187768981455605</v>
      </c>
      <c r="ON47" s="704">
        <v>66.867122543413799</v>
      </c>
      <c r="OO47" s="704">
        <v>58.404818473241903</v>
      </c>
      <c r="OP47" s="704">
        <v>490.92382538602101</v>
      </c>
      <c r="OQ47" s="704">
        <v>182.24531887475001</v>
      </c>
      <c r="OR47" s="173">
        <v>1362.7937206762099</v>
      </c>
      <c r="OT47" s="563" t="s">
        <v>569</v>
      </c>
      <c r="OU47" s="172">
        <v>471.76349800000003</v>
      </c>
      <c r="OV47" s="337">
        <v>247.55494300000001</v>
      </c>
      <c r="OW47" s="337">
        <v>363.29465499999998</v>
      </c>
      <c r="OX47" s="173">
        <v>562.20410300000003</v>
      </c>
      <c r="OY47" s="703">
        <v>372.38213834068898</v>
      </c>
      <c r="OZ47" s="704">
        <v>300.68410770347754</v>
      </c>
      <c r="PA47" s="704">
        <v>285.58341013517628</v>
      </c>
      <c r="PB47" s="173">
        <v>550.40662048928959</v>
      </c>
      <c r="PC47" s="1137">
        <v>307.561188378964</v>
      </c>
      <c r="PD47" s="1138">
        <v>283.93920386474298</v>
      </c>
      <c r="PE47" s="1138">
        <v>295.08211310159197</v>
      </c>
      <c r="PF47" s="1139">
        <v>751.41629867520601</v>
      </c>
      <c r="PH47" s="563" t="s">
        <v>569</v>
      </c>
      <c r="PI47" s="703">
        <v>128.53739020797229</v>
      </c>
      <c r="PJ47" s="704">
        <v>124.579180807329</v>
      </c>
      <c r="PK47" s="704">
        <v>140.804043820949</v>
      </c>
      <c r="PL47" s="173">
        <v>352.19777080156894</v>
      </c>
      <c r="PM47" s="703">
        <v>179.0237981709914</v>
      </c>
      <c r="PN47" s="704">
        <v>159.360023057413</v>
      </c>
      <c r="PO47" s="704">
        <v>154.278069280643</v>
      </c>
      <c r="PP47" s="173">
        <v>399.21852787363702</v>
      </c>
      <c r="PQ47" s="65"/>
      <c r="PR47" s="563" t="s">
        <v>569</v>
      </c>
      <c r="PS47" s="1038">
        <v>24.0015134646242</v>
      </c>
      <c r="PT47" s="1039">
        <v>57.1544931418413</v>
      </c>
      <c r="PU47" s="1039">
        <v>41.014030501808499</v>
      </c>
      <c r="PV47" s="1039">
        <v>14.8536460365726</v>
      </c>
      <c r="PW47" s="1039">
        <v>481.16926604367802</v>
      </c>
      <c r="PX47" s="1040">
        <v>308.76842387495702</v>
      </c>
      <c r="PZ47" s="563" t="s">
        <v>569</v>
      </c>
      <c r="QA47" s="1038">
        <v>547.77366516867505</v>
      </c>
      <c r="QB47" s="1039">
        <v>377.18770586403599</v>
      </c>
      <c r="QC47" s="1039">
        <v>309.66682452430598</v>
      </c>
      <c r="QD47" s="1039">
        <v>26.0300991585856</v>
      </c>
      <c r="QE47" s="1039">
        <v>38.5835020096197</v>
      </c>
      <c r="QF47" s="1040">
        <v>2.9072801715243801</v>
      </c>
    </row>
    <row r="48" spans="1:448" ht="13.5" customHeight="1">
      <c r="A48" s="593" t="s">
        <v>513</v>
      </c>
      <c r="B48" s="559" t="s">
        <v>570</v>
      </c>
      <c r="C48" s="1103">
        <v>3566.7085520000001</v>
      </c>
      <c r="D48" s="690">
        <v>3921.6794132956552</v>
      </c>
      <c r="E48" s="691">
        <v>4113.4412730598897</v>
      </c>
      <c r="F48" s="428"/>
      <c r="G48" s="563" t="s">
        <v>570</v>
      </c>
      <c r="H48" s="686">
        <f t="shared" si="5"/>
        <v>1.915653374977988E-2</v>
      </c>
      <c r="I48" s="668">
        <f t="shared" si="6"/>
        <v>9.5937249618203158E-3</v>
      </c>
      <c r="J48" s="612"/>
      <c r="K48" s="63"/>
      <c r="L48" s="559" t="s">
        <v>570</v>
      </c>
      <c r="M48" s="636">
        <v>38</v>
      </c>
      <c r="N48" s="637">
        <v>47</v>
      </c>
      <c r="O48" s="637">
        <v>51</v>
      </c>
      <c r="P48" s="637">
        <v>73</v>
      </c>
      <c r="Q48" s="637">
        <v>47</v>
      </c>
      <c r="R48" s="637">
        <v>48</v>
      </c>
      <c r="S48" s="637">
        <v>59</v>
      </c>
      <c r="T48" s="637">
        <v>55</v>
      </c>
      <c r="U48" s="1138">
        <v>34</v>
      </c>
      <c r="V48" s="1138">
        <v>36</v>
      </c>
      <c r="W48" s="1139">
        <v>46</v>
      </c>
      <c r="X48" s="563" t="s">
        <v>570</v>
      </c>
      <c r="Y48" s="666">
        <v>42.5</v>
      </c>
      <c r="Z48" s="667">
        <v>62</v>
      </c>
      <c r="AA48" s="667">
        <v>47.5</v>
      </c>
      <c r="AB48" s="667">
        <v>57</v>
      </c>
      <c r="AC48" s="667">
        <v>57</v>
      </c>
      <c r="AD48" s="668">
        <v>0.45882352941176469</v>
      </c>
      <c r="AE48" s="668">
        <v>-0.23387096774193547</v>
      </c>
      <c r="AF48" s="668">
        <v>0.2</v>
      </c>
      <c r="AG48" s="1213">
        <v>-0.23387096774193547</v>
      </c>
      <c r="AN48" s="563" t="s">
        <v>570</v>
      </c>
      <c r="AO48" s="636">
        <v>5.554468</v>
      </c>
      <c r="AP48" s="637">
        <v>71.624275999999995</v>
      </c>
      <c r="AQ48" s="637">
        <v>284.68061299999999</v>
      </c>
      <c r="AR48" s="637">
        <v>570.60438299999998</v>
      </c>
      <c r="AS48" s="637">
        <v>697.15223300000002</v>
      </c>
      <c r="AT48" s="637">
        <v>420.338638</v>
      </c>
      <c r="AU48" s="637">
        <v>510.54859499999998</v>
      </c>
      <c r="AV48" s="173">
        <v>396.69388199999997</v>
      </c>
      <c r="AW48" s="636">
        <v>2.1572789556677598</v>
      </c>
      <c r="AX48" s="637">
        <v>64.698914094157615</v>
      </c>
      <c r="AY48" s="637">
        <v>410.84865540178208</v>
      </c>
      <c r="AZ48" s="637">
        <v>611.0493561100277</v>
      </c>
      <c r="BA48" s="637">
        <v>691.52436075458127</v>
      </c>
      <c r="BB48" s="637">
        <v>422.53529342575865</v>
      </c>
      <c r="BC48" s="637">
        <v>680.78095387716326</v>
      </c>
      <c r="BD48" s="173">
        <v>371.35960964464658</v>
      </c>
      <c r="BE48" s="1137">
        <v>1.0413425601953701</v>
      </c>
      <c r="BF48" s="1138">
        <v>60.632338640301299</v>
      </c>
      <c r="BG48" s="1138">
        <v>458.33681954299698</v>
      </c>
      <c r="BH48" s="1138">
        <v>749.17306555683604</v>
      </c>
      <c r="BI48" s="1138">
        <v>637.87009044680099</v>
      </c>
      <c r="BJ48" s="1138">
        <v>310.23756408727701</v>
      </c>
      <c r="BK48" s="1138">
        <v>822.92500718443296</v>
      </c>
      <c r="BL48" s="1139">
        <v>456.40362336551902</v>
      </c>
      <c r="BN48" s="563" t="s">
        <v>570</v>
      </c>
      <c r="BO48" s="647">
        <v>615.51145599999995</v>
      </c>
      <c r="BP48" s="648">
        <v>969.59918900000002</v>
      </c>
      <c r="BQ48" s="648">
        <v>795.297055</v>
      </c>
      <c r="BR48" s="648">
        <v>654.83940600000005</v>
      </c>
      <c r="BS48" s="648">
        <v>414.75536099999999</v>
      </c>
      <c r="BT48" s="173">
        <v>116.706085</v>
      </c>
      <c r="BU48" s="647">
        <v>666.72499103186965</v>
      </c>
      <c r="BV48" s="648">
        <v>1011.1089414526004</v>
      </c>
      <c r="BW48" s="648">
        <v>832.9244968871028</v>
      </c>
      <c r="BX48" s="648">
        <v>645.1820440857457</v>
      </c>
      <c r="BY48" s="648">
        <v>495.07494733065033</v>
      </c>
      <c r="BZ48" s="173">
        <v>270.66399250768632</v>
      </c>
      <c r="CA48" s="1137">
        <v>633.821438937077</v>
      </c>
      <c r="CB48" s="1138">
        <v>959.98720463850702</v>
      </c>
      <c r="CC48" s="1138">
        <v>850.65626485220605</v>
      </c>
      <c r="CD48" s="1138">
        <v>766.08312731982005</v>
      </c>
      <c r="CE48" s="1138">
        <v>629.17405042369001</v>
      </c>
      <c r="CF48" s="1139">
        <v>273.71918688859301</v>
      </c>
      <c r="CG48" s="429"/>
      <c r="CH48" s="563" t="s">
        <v>570</v>
      </c>
      <c r="CI48" s="172">
        <v>839.62448600000005</v>
      </c>
      <c r="CJ48" s="337">
        <v>2348.8385199999998</v>
      </c>
      <c r="CK48" s="337">
        <v>378.24554499999999</v>
      </c>
      <c r="CL48" s="647">
        <v>835.30949783332358</v>
      </c>
      <c r="CM48" s="648">
        <v>2525.81544623533</v>
      </c>
      <c r="CN48" s="648">
        <v>560.5544692270015</v>
      </c>
      <c r="CO48" s="1137">
        <v>876.121846924549</v>
      </c>
      <c r="CP48" s="1138">
        <v>2524.1814338917002</v>
      </c>
      <c r="CQ48" s="1139">
        <v>713.13799224364595</v>
      </c>
      <c r="CR48" s="429"/>
      <c r="CS48" s="232" t="s">
        <v>646</v>
      </c>
      <c r="CT48" s="242">
        <f t="shared" si="38"/>
        <v>-5.3534283151743065E-2</v>
      </c>
      <c r="CU48" s="135">
        <f t="shared" si="39"/>
        <v>0.10687493094613638</v>
      </c>
      <c r="CV48" s="318">
        <f t="shared" si="40"/>
        <v>-8.8575806380207012E-2</v>
      </c>
      <c r="CW48" s="135">
        <f t="shared" si="41"/>
        <v>0.13423492577869059</v>
      </c>
      <c r="CX48" s="319">
        <f t="shared" si="42"/>
        <v>-5.4365886755146024E-2</v>
      </c>
      <c r="CY48" s="135">
        <f t="shared" si="43"/>
        <v>9.9589970873955658E-2</v>
      </c>
      <c r="CZ48" s="318">
        <f t="shared" si="44"/>
        <v>-0.10080514478977859</v>
      </c>
      <c r="DA48" s="238">
        <f t="shared" si="45"/>
        <v>0.14492085072618086</v>
      </c>
      <c r="DB48" s="426"/>
      <c r="DC48" s="426"/>
      <c r="DD48" s="426"/>
      <c r="DE48" s="426"/>
      <c r="DG48" s="563" t="s">
        <v>570</v>
      </c>
      <c r="DH48" s="1147" t="s">
        <v>760</v>
      </c>
      <c r="DI48" s="1150" t="s">
        <v>947</v>
      </c>
      <c r="DJ48" s="704" t="s">
        <v>948</v>
      </c>
      <c r="DK48" s="704" t="s">
        <v>949</v>
      </c>
      <c r="DL48" s="337" t="s">
        <v>950</v>
      </c>
      <c r="DM48" s="174" t="s">
        <v>850</v>
      </c>
      <c r="DO48" s="559" t="s">
        <v>570</v>
      </c>
      <c r="DP48" s="704">
        <v>1437.8573080000001</v>
      </c>
      <c r="DQ48" s="337">
        <v>1709.3283393740776</v>
      </c>
      <c r="DR48" s="1139">
        <v>1964.87728029871</v>
      </c>
      <c r="DS48" s="63"/>
      <c r="DT48" s="563" t="s">
        <v>570</v>
      </c>
      <c r="DU48" s="172">
        <v>3206.708991</v>
      </c>
      <c r="DV48" s="337">
        <v>3575.6796836990602</v>
      </c>
      <c r="DW48" s="1139">
        <v>3917.44107404443</v>
      </c>
      <c r="DX48" s="63"/>
      <c r="DY48" s="563" t="s">
        <v>570</v>
      </c>
      <c r="DZ48" s="1089">
        <f t="shared" si="32"/>
        <v>2.2301997375945457</v>
      </c>
      <c r="EA48" s="787">
        <f t="shared" si="33"/>
        <v>2.0918624007652058</v>
      </c>
      <c r="EB48" s="776">
        <f t="shared" si="34"/>
        <v>1.9937332032506794</v>
      </c>
      <c r="ED48" s="541"/>
      <c r="EE48" s="563" t="s">
        <v>570</v>
      </c>
      <c r="EF48" s="735">
        <v>466.951345</v>
      </c>
      <c r="EG48" s="736">
        <v>33.760373999999999</v>
      </c>
      <c r="EH48" s="736">
        <v>430.66533500000003</v>
      </c>
      <c r="EI48" s="736">
        <v>393.167123</v>
      </c>
      <c r="EJ48" s="736">
        <v>113.31313</v>
      </c>
      <c r="EK48" s="703">
        <v>646.48485222152317</v>
      </c>
      <c r="EL48" s="704">
        <v>15.884908522298611</v>
      </c>
      <c r="EM48" s="704">
        <v>485.19705049034837</v>
      </c>
      <c r="EN48" s="704">
        <v>424.95105466375736</v>
      </c>
      <c r="EO48" s="704">
        <v>136.81047347615012</v>
      </c>
      <c r="EP48" s="1137">
        <v>853.92490618663896</v>
      </c>
      <c r="EQ48" s="1138">
        <v>20.103816782695802</v>
      </c>
      <c r="ER48" s="1138">
        <v>515.59599701999798</v>
      </c>
      <c r="ES48" s="1138">
        <v>418.74667934409399</v>
      </c>
      <c r="ET48" s="1139">
        <v>156.505880965279</v>
      </c>
      <c r="EV48" s="563" t="s">
        <v>570</v>
      </c>
      <c r="EW48" s="703">
        <v>79.432846999999995</v>
      </c>
      <c r="EX48" s="704">
        <v>232.95074600000001</v>
      </c>
      <c r="EY48" s="704">
        <v>130.616736</v>
      </c>
      <c r="EZ48" s="704">
        <v>23.951017</v>
      </c>
      <c r="FA48" s="703">
        <v>493.004299</v>
      </c>
      <c r="FB48" s="704">
        <v>1424.6842710000001</v>
      </c>
      <c r="FC48" s="704">
        <v>657.28197699999998</v>
      </c>
      <c r="FD48" s="704">
        <v>43.226954999999997</v>
      </c>
      <c r="FE48" s="703">
        <v>116.94776277027847</v>
      </c>
      <c r="FF48" s="704">
        <v>282.61911933572452</v>
      </c>
      <c r="FG48" s="704">
        <v>153.17741861131674</v>
      </c>
      <c r="FH48" s="173">
        <v>93.740551504203395</v>
      </c>
      <c r="FI48" s="703">
        <v>505.92220457073734</v>
      </c>
      <c r="FJ48" s="704">
        <v>1502.9580061868319</v>
      </c>
      <c r="FK48" s="746">
        <v>788.10559153106817</v>
      </c>
      <c r="FL48" s="747">
        <v>156.9688552104802</v>
      </c>
      <c r="FM48" s="1137">
        <v>144.06898933607499</v>
      </c>
      <c r="FN48" s="1138">
        <v>440.84330758180499</v>
      </c>
      <c r="FO48" s="1138">
        <v>225.41737069149499</v>
      </c>
      <c r="FP48" s="1139">
        <v>42.595237561878399</v>
      </c>
      <c r="FQ48" s="1137">
        <v>571.80904969714902</v>
      </c>
      <c r="FR48" s="1138">
        <v>1610.69727954526</v>
      </c>
      <c r="FS48" s="1138">
        <v>954.20092443648002</v>
      </c>
      <c r="FT48" s="1139">
        <v>148.91238345922901</v>
      </c>
      <c r="FV48" s="559" t="s">
        <v>570</v>
      </c>
      <c r="FW48" s="337">
        <v>468.32727599999998</v>
      </c>
      <c r="FX48" s="337">
        <v>201.797213</v>
      </c>
      <c r="FY48" s="337">
        <v>210.157241</v>
      </c>
      <c r="FZ48" s="173">
        <v>61.415043999999995</v>
      </c>
      <c r="GA48" s="703">
        <v>520.01130834113042</v>
      </c>
      <c r="GB48" s="704">
        <v>283.937612244972</v>
      </c>
      <c r="GC48" s="704">
        <v>177.15764835251591</v>
      </c>
      <c r="GD48" s="173">
        <v>65.852009691637591</v>
      </c>
      <c r="GE48" s="1137">
        <v>552.163640916291</v>
      </c>
      <c r="GF48" s="1138">
        <v>265.18368029988699</v>
      </c>
      <c r="GG48" s="1138">
        <v>213.012350604521</v>
      </c>
      <c r="GH48" s="1139">
        <v>60.488885508672098</v>
      </c>
      <c r="GJ48" s="563" t="s">
        <v>570</v>
      </c>
      <c r="GK48" s="703">
        <v>1525.9982460000001</v>
      </c>
      <c r="GL48" s="704">
        <v>1924.4986641370981</v>
      </c>
      <c r="GM48" s="1139">
        <v>2199.0019940895399</v>
      </c>
      <c r="GO48" s="563" t="s">
        <v>570</v>
      </c>
      <c r="GP48" s="703">
        <v>1437.8573080000001</v>
      </c>
      <c r="GQ48" s="704">
        <v>8.1484470000000009</v>
      </c>
      <c r="GR48" s="173">
        <v>79.992491000000001</v>
      </c>
      <c r="GS48" s="703">
        <v>1709.3283393740776</v>
      </c>
      <c r="GT48" s="704">
        <v>19.924488090391378</v>
      </c>
      <c r="GU48" s="173">
        <v>195.24583667262911</v>
      </c>
      <c r="GV48" s="1137">
        <v>1963.8772792833199</v>
      </c>
      <c r="GW48" s="1138">
        <v>33.914265006770201</v>
      </c>
      <c r="GX48" s="1139">
        <v>201.21044979945199</v>
      </c>
      <c r="GZ48" s="563" t="s">
        <v>570</v>
      </c>
      <c r="HA48" s="703">
        <v>794.87525800000003</v>
      </c>
      <c r="HB48" s="704">
        <v>728.13751100000002</v>
      </c>
      <c r="HC48" s="173">
        <f t="shared" si="7"/>
        <v>2.9854770000001736</v>
      </c>
      <c r="HD48" s="703">
        <v>992.75063538345557</v>
      </c>
      <c r="HE48" s="704">
        <v>931.74802875364242</v>
      </c>
      <c r="HF48" s="173">
        <f t="shared" si="8"/>
        <v>0</v>
      </c>
      <c r="HG48" s="583">
        <v>1066.14288843749</v>
      </c>
      <c r="HH48" s="1138">
        <v>1132.8591056520499</v>
      </c>
      <c r="HI48" s="173">
        <f t="shared" si="9"/>
        <v>0</v>
      </c>
      <c r="HK48" s="563" t="s">
        <v>570</v>
      </c>
      <c r="HL48" s="704">
        <v>1437.8573080000001</v>
      </c>
      <c r="HM48" s="704">
        <v>5570.9766589999999</v>
      </c>
      <c r="HN48" s="776">
        <f t="shared" si="10"/>
        <v>3.8744989701022541</v>
      </c>
      <c r="HO48" s="703">
        <v>1709.3283393740776</v>
      </c>
      <c r="HP48" s="704">
        <v>6345.6513540580881</v>
      </c>
      <c r="HQ48" s="776">
        <f t="shared" si="11"/>
        <v>3.712365382289128</v>
      </c>
      <c r="HR48" s="1138">
        <v>1963.8772792833199</v>
      </c>
      <c r="HS48" s="1138">
        <v>7276.2609311999204</v>
      </c>
      <c r="HT48" s="784">
        <f t="shared" si="12"/>
        <v>3.7050486850457656</v>
      </c>
      <c r="HV48" s="563" t="s">
        <v>570</v>
      </c>
      <c r="HW48" s="172">
        <v>758.40141000000006</v>
      </c>
      <c r="HX48" s="337">
        <v>3720.4867589999999</v>
      </c>
      <c r="HY48" s="787">
        <f t="shared" si="13"/>
        <v>4.9056959941569724</v>
      </c>
      <c r="HZ48" s="704">
        <v>676.47042099999999</v>
      </c>
      <c r="IA48" s="704">
        <v>1845.5189459999999</v>
      </c>
      <c r="IB48" s="787">
        <f t="shared" si="14"/>
        <v>2.7281591163614234</v>
      </c>
      <c r="IC48" s="703">
        <v>918.1446513296338</v>
      </c>
      <c r="ID48" s="704">
        <v>4342.4578706000666</v>
      </c>
      <c r="IE48" s="787">
        <f t="shared" si="15"/>
        <v>4.7296010103761201</v>
      </c>
      <c r="IF48" s="704">
        <v>791.1836880444439</v>
      </c>
      <c r="IG48" s="704">
        <v>2003.1934834580211</v>
      </c>
      <c r="IH48" s="776">
        <f t="shared" si="16"/>
        <v>2.5318943169939239</v>
      </c>
      <c r="II48" s="1137">
        <v>987.56598428228301</v>
      </c>
      <c r="IJ48" s="1138">
        <v>4809.7121292627098</v>
      </c>
      <c r="IK48" s="1170">
        <f t="shared" si="17"/>
        <v>4.8702691322020213</v>
      </c>
      <c r="IL48" s="1138">
        <v>976.31129500103805</v>
      </c>
      <c r="IM48" s="1138">
        <v>2466.5488019372201</v>
      </c>
      <c r="IN48" s="1171">
        <f t="shared" si="18"/>
        <v>2.5263958478884518</v>
      </c>
      <c r="IP48" s="563" t="s">
        <v>570</v>
      </c>
      <c r="IQ48" s="172">
        <v>42.573973000000002</v>
      </c>
      <c r="IR48" s="704">
        <v>269.49932000000001</v>
      </c>
      <c r="IS48" s="704">
        <v>319.59564999999998</v>
      </c>
      <c r="IT48" s="704">
        <v>316.63905099999999</v>
      </c>
      <c r="IU48" s="704">
        <v>489.54931399999998</v>
      </c>
      <c r="IV48" s="704">
        <v>5570.9766589999999</v>
      </c>
      <c r="IW48" s="703">
        <v>80.680637360914574</v>
      </c>
      <c r="IX48" s="704">
        <v>323.3346818631764</v>
      </c>
      <c r="IY48" s="704">
        <v>450.5228866371782</v>
      </c>
      <c r="IZ48" s="704">
        <v>409.33093718867406</v>
      </c>
      <c r="JA48" s="704">
        <v>445.45919632413438</v>
      </c>
      <c r="JB48" s="173">
        <v>6345.6513540580881</v>
      </c>
      <c r="JC48" s="1137">
        <v>124.491800558817</v>
      </c>
      <c r="JD48" s="1138">
        <v>370.29690572618699</v>
      </c>
      <c r="JE48" s="1138">
        <v>494.11473911974599</v>
      </c>
      <c r="JF48" s="1138">
        <v>425.54413847379499</v>
      </c>
      <c r="JG48" s="1138">
        <v>549.42969540477498</v>
      </c>
      <c r="JH48" s="1139">
        <v>7276.2609311999204</v>
      </c>
      <c r="JJ48" s="563" t="s">
        <v>570</v>
      </c>
      <c r="JK48" s="172">
        <v>710.37400000000002</v>
      </c>
      <c r="JL48" s="337">
        <v>427.82179299999996</v>
      </c>
      <c r="JM48" s="337">
        <v>283.90714100000002</v>
      </c>
      <c r="JN48" s="173">
        <v>15.754374</v>
      </c>
      <c r="JO48" s="703">
        <v>886.12354074000507</v>
      </c>
      <c r="JP48" s="704">
        <v>571.00842936085178</v>
      </c>
      <c r="JQ48" s="704">
        <v>239.09822745898853</v>
      </c>
      <c r="JR48" s="173">
        <v>13.098141814232349</v>
      </c>
      <c r="JS48" s="1137">
        <v>1004.55816841668</v>
      </c>
      <c r="JT48" s="1138">
        <v>719.01076055258602</v>
      </c>
      <c r="JU48" s="1138">
        <v>231.31188187805699</v>
      </c>
      <c r="JV48" s="1139">
        <v>8.9964684359990397</v>
      </c>
      <c r="JX48" s="563" t="s">
        <v>570</v>
      </c>
      <c r="JY48" s="703">
        <v>366.276138614768</v>
      </c>
      <c r="JZ48" s="704">
        <v>528.28293299150005</v>
      </c>
      <c r="KA48" s="704">
        <v>322.25126814208801</v>
      </c>
      <c r="KB48" s="173">
        <v>747.06693953496494</v>
      </c>
      <c r="KC48" s="603"/>
      <c r="KD48" s="563" t="s">
        <v>570</v>
      </c>
      <c r="KE48" s="703">
        <v>3.9170108097240401</v>
      </c>
      <c r="KF48" s="704">
        <v>7.8880432301277299</v>
      </c>
      <c r="KG48" s="704">
        <v>78.255158404786499</v>
      </c>
      <c r="KH48" s="704">
        <v>140.66196505769801</v>
      </c>
      <c r="KI48" s="704">
        <v>313.02652934695101</v>
      </c>
      <c r="KJ48" s="173">
        <v>400.70868887458403</v>
      </c>
      <c r="KK48" s="703">
        <v>22.895613596200299</v>
      </c>
      <c r="KL48" s="704">
        <v>80.801617973283697</v>
      </c>
      <c r="KM48" s="704">
        <v>154.84593910187701</v>
      </c>
      <c r="KN48" s="704">
        <v>407.94412729400301</v>
      </c>
      <c r="KO48" s="704">
        <v>158.25398550850801</v>
      </c>
      <c r="KP48" s="173">
        <v>160.510163919555</v>
      </c>
      <c r="KQ48" s="703">
        <v>26.8126244059243</v>
      </c>
      <c r="KR48" s="704">
        <v>88.689661203411404</v>
      </c>
      <c r="KS48" s="704">
        <v>233.101097506663</v>
      </c>
      <c r="KT48" s="704">
        <v>548.6060923517</v>
      </c>
      <c r="KU48" s="704">
        <v>471.28051485545899</v>
      </c>
      <c r="KV48" s="173">
        <v>561.21885279413902</v>
      </c>
      <c r="KW48" s="429"/>
      <c r="KX48" s="563" t="s">
        <v>570</v>
      </c>
      <c r="KY48" s="172">
        <f t="shared" si="35"/>
        <v>149.0616030000001</v>
      </c>
      <c r="KZ48" s="337">
        <v>747.09043599999995</v>
      </c>
      <c r="LA48" s="173">
        <v>541.70526900000004</v>
      </c>
      <c r="LB48" s="172">
        <f t="shared" si="36"/>
        <v>185.88525655720923</v>
      </c>
      <c r="LC48" s="704">
        <v>890.32707989165044</v>
      </c>
      <c r="LD48" s="173">
        <v>633.11600292521803</v>
      </c>
      <c r="LE48" s="172">
        <f t="shared" si="37"/>
        <v>214.32336615058807</v>
      </c>
      <c r="LF48" s="1138">
        <v>1106.4588748175099</v>
      </c>
      <c r="LG48" s="1139">
        <v>644.09503933061205</v>
      </c>
      <c r="LH48" s="426"/>
      <c r="LI48" s="563" t="s">
        <v>570</v>
      </c>
      <c r="LJ48" s="172">
        <v>2052.8971900000001</v>
      </c>
      <c r="LK48" s="337">
        <v>1883.1312459999999</v>
      </c>
      <c r="LL48" s="337">
        <v>169.76594399999999</v>
      </c>
      <c r="LM48" s="337">
        <v>239.492377</v>
      </c>
      <c r="LN48" s="337">
        <v>133.259489</v>
      </c>
      <c r="LO48" s="173">
        <v>147.30249499999999</v>
      </c>
      <c r="LP48" s="703">
        <v>2201.7543624008254</v>
      </c>
      <c r="LQ48" s="704">
        <v>1962.7068144498455</v>
      </c>
      <c r="LR48" s="704">
        <v>239.04754795097929</v>
      </c>
      <c r="LS48" s="704">
        <v>225.78800936585807</v>
      </c>
      <c r="LT48" s="704">
        <v>148.13814529256769</v>
      </c>
      <c r="LU48" s="173">
        <v>118.71943597753301</v>
      </c>
      <c r="LV48" s="1137">
        <v>2208.28832584775</v>
      </c>
      <c r="LW48" s="1138">
        <v>1957.92913337869</v>
      </c>
      <c r="LX48" s="1138">
        <v>250.359192469064</v>
      </c>
      <c r="LY48" s="1138">
        <v>273.683538342578</v>
      </c>
      <c r="LZ48" s="1138">
        <v>151.65701342977201</v>
      </c>
      <c r="MA48" s="1139">
        <v>132.85296425906799</v>
      </c>
      <c r="MC48" s="563" t="s">
        <v>570</v>
      </c>
      <c r="MD48" s="172">
        <v>1.970958</v>
      </c>
      <c r="ME48" s="337">
        <v>57.340446999999998</v>
      </c>
      <c r="MF48" s="337">
        <v>264.76257399999997</v>
      </c>
      <c r="MG48" s="337">
        <v>537.85654599999998</v>
      </c>
      <c r="MH48" s="337">
        <v>632.779404</v>
      </c>
      <c r="MI48" s="173">
        <v>389.42131599999999</v>
      </c>
      <c r="MJ48" s="703">
        <v>2.1572789556677598</v>
      </c>
      <c r="MK48" s="704">
        <v>46.851263142481997</v>
      </c>
      <c r="ML48" s="704">
        <v>392.44402460359225</v>
      </c>
      <c r="MM48" s="704">
        <v>574.1546391461128</v>
      </c>
      <c r="MN48" s="704">
        <v>591.3322250984537</v>
      </c>
      <c r="MO48" s="173">
        <v>360.76737959597335</v>
      </c>
      <c r="MP48" s="1137">
        <v>1.0413425601953701</v>
      </c>
      <c r="MQ48" s="1138">
        <v>48.331510220969498</v>
      </c>
      <c r="MR48" s="1138">
        <v>445.94799832306398</v>
      </c>
      <c r="MS48" s="1138">
        <v>663.89964166771199</v>
      </c>
      <c r="MT48" s="1138">
        <v>546.90608716205702</v>
      </c>
      <c r="MU48" s="1139">
        <v>239.80254126006801</v>
      </c>
      <c r="MW48" s="563" t="s">
        <v>570</v>
      </c>
      <c r="MX48" s="172">
        <v>1883.1312459999999</v>
      </c>
      <c r="MY48" s="337">
        <v>1780.813944</v>
      </c>
      <c r="MZ48" s="337">
        <v>102.317302</v>
      </c>
      <c r="NA48" s="703">
        <v>1972.1364503273576</v>
      </c>
      <c r="NB48" s="704">
        <v>1824.283354903456</v>
      </c>
      <c r="NC48" s="173">
        <v>147.85309542390144</v>
      </c>
      <c r="ND48" s="1137">
        <v>1981.0213362448101</v>
      </c>
      <c r="NE48" s="1138">
        <v>1814.9891394106801</v>
      </c>
      <c r="NF48" s="1139">
        <v>166.032196834134</v>
      </c>
      <c r="NH48" s="563" t="s">
        <v>570</v>
      </c>
      <c r="NI48" s="703">
        <v>1494.614077674406</v>
      </c>
      <c r="NJ48" s="173">
        <v>329.66927722905012</v>
      </c>
      <c r="NK48" s="703">
        <v>92.003958799935873</v>
      </c>
      <c r="NL48" s="704">
        <v>53.691857668297779</v>
      </c>
      <c r="NM48" s="173">
        <v>2.1572789556677598</v>
      </c>
      <c r="NN48" s="1137">
        <v>1478.3074751604699</v>
      </c>
      <c r="NO48" s="1139">
        <v>336.68166425020701</v>
      </c>
      <c r="NP48" s="1137">
        <v>114.578302971968</v>
      </c>
      <c r="NQ48" s="1138">
        <v>49.023292157503697</v>
      </c>
      <c r="NR48" s="1139">
        <v>2.4306017046623301</v>
      </c>
      <c r="NS48" s="136"/>
      <c r="NT48" s="563" t="s">
        <v>570</v>
      </c>
      <c r="NU48" s="703">
        <v>214.79198435468157</v>
      </c>
      <c r="NV48" s="704">
        <v>47.729745777711642</v>
      </c>
      <c r="NW48" s="704">
        <v>9.2378552131526472</v>
      </c>
      <c r="NX48" s="173">
        <v>57.909691883504273</v>
      </c>
      <c r="NY48" s="1137">
        <v>223.55014807790499</v>
      </c>
      <c r="NZ48" s="1138">
        <v>45.941743225324799</v>
      </c>
      <c r="OA48" s="1138">
        <v>11.0326336394567</v>
      </c>
      <c r="OB48" s="1139">
        <v>56.157139307520502</v>
      </c>
      <c r="OC48" s="553"/>
      <c r="OD48" s="563" t="s">
        <v>570</v>
      </c>
      <c r="OE48" s="703">
        <v>117.922489545871</v>
      </c>
      <c r="OF48" s="704">
        <v>210.44472363726001</v>
      </c>
      <c r="OG48" s="704">
        <v>139.73729042053901</v>
      </c>
      <c r="OH48" s="704">
        <v>107.159980575505</v>
      </c>
      <c r="OI48" s="704">
        <v>252.952981157652</v>
      </c>
      <c r="OJ48" s="704">
        <v>21.363750083720898</v>
      </c>
      <c r="OK48" s="173">
        <v>21.623991486161099</v>
      </c>
      <c r="OL48" s="703">
        <v>182.61530143045499</v>
      </c>
      <c r="OM48" s="704">
        <v>228.48461135881101</v>
      </c>
      <c r="ON48" s="704">
        <v>143.68131203560301</v>
      </c>
      <c r="OO48" s="704">
        <v>113.087092345485</v>
      </c>
      <c r="OP48" s="704">
        <v>515.72201522860996</v>
      </c>
      <c r="OQ48" s="704">
        <v>331.17809706441199</v>
      </c>
      <c r="OR48" s="173">
        <v>2519.6326294843102</v>
      </c>
      <c r="OT48" s="563" t="s">
        <v>570</v>
      </c>
      <c r="OU48" s="172">
        <v>659.48426400000005</v>
      </c>
      <c r="OV48" s="337">
        <v>658.59459700000002</v>
      </c>
      <c r="OW48" s="337">
        <v>533.53872999999999</v>
      </c>
      <c r="OX48" s="173">
        <v>744.34021000000007</v>
      </c>
      <c r="OY48" s="703">
        <v>654.51501388062832</v>
      </c>
      <c r="OZ48" s="704">
        <v>633.27204346220606</v>
      </c>
      <c r="PA48" s="704">
        <v>563.0122406840444</v>
      </c>
      <c r="PB48" s="173">
        <v>1002.1593707533838</v>
      </c>
      <c r="PC48" s="1137">
        <v>528.06554078448301</v>
      </c>
      <c r="PD48" s="1138">
        <v>634.65894121181702</v>
      </c>
      <c r="PE48" s="1138">
        <v>664.00809059688902</v>
      </c>
      <c r="PF48" s="1139">
        <v>1249.7865582265881</v>
      </c>
      <c r="PH48" s="563" t="s">
        <v>570</v>
      </c>
      <c r="PI48" s="703">
        <v>233.08181726598821</v>
      </c>
      <c r="PJ48" s="704">
        <v>344.838996750332</v>
      </c>
      <c r="PK48" s="704">
        <v>350.39599921851999</v>
      </c>
      <c r="PL48" s="173">
        <v>586.76107582647808</v>
      </c>
      <c r="PM48" s="703">
        <v>294.98372351849451</v>
      </c>
      <c r="PN48" s="704">
        <v>289.81994446148502</v>
      </c>
      <c r="PO48" s="704">
        <v>313.61209137836897</v>
      </c>
      <c r="PP48" s="173">
        <v>663.02548240010901</v>
      </c>
      <c r="PQ48" s="65"/>
      <c r="PR48" s="563" t="s">
        <v>570</v>
      </c>
      <c r="PS48" s="1038">
        <v>69.282723499098694</v>
      </c>
      <c r="PT48" s="1039">
        <v>108.901262238055</v>
      </c>
      <c r="PU48" s="1039">
        <v>53.747631806179697</v>
      </c>
      <c r="PV48" s="1039">
        <v>16.159642072578698</v>
      </c>
      <c r="PW48" s="1039">
        <v>1404.2087560387499</v>
      </c>
      <c r="PX48" s="1040">
        <v>320.72131246707301</v>
      </c>
      <c r="PZ48" s="563" t="s">
        <v>570</v>
      </c>
      <c r="QA48" s="1038">
        <v>1244.2907659592699</v>
      </c>
      <c r="QB48" s="1039">
        <v>736.73057028554297</v>
      </c>
      <c r="QC48" s="1039">
        <v>612.43461409366296</v>
      </c>
      <c r="QD48" s="1039">
        <v>45.552232669927101</v>
      </c>
      <c r="QE48" s="1039">
        <v>78.743723521953896</v>
      </c>
      <c r="QF48" s="1040">
        <v>0</v>
      </c>
    </row>
    <row r="49" spans="1:448" ht="13.5" customHeight="1">
      <c r="A49" s="593" t="s">
        <v>514</v>
      </c>
      <c r="B49" s="559" t="s">
        <v>571</v>
      </c>
      <c r="C49" s="1103">
        <v>3206.306681</v>
      </c>
      <c r="D49" s="690">
        <v>3080.2177170215264</v>
      </c>
      <c r="E49" s="691">
        <v>3139.1869492819901</v>
      </c>
      <c r="F49" s="428"/>
      <c r="G49" s="563" t="s">
        <v>571</v>
      </c>
      <c r="H49" s="686">
        <f t="shared" si="5"/>
        <v>-7.9917798069587542E-3</v>
      </c>
      <c r="I49" s="668">
        <f t="shared" si="6"/>
        <v>3.7999116688294254E-3</v>
      </c>
      <c r="J49" s="612"/>
      <c r="K49" s="63"/>
      <c r="L49" s="559" t="s">
        <v>571</v>
      </c>
      <c r="M49" s="636">
        <v>24</v>
      </c>
      <c r="N49" s="637">
        <v>35</v>
      </c>
      <c r="O49" s="637">
        <v>33</v>
      </c>
      <c r="P49" s="637">
        <v>38</v>
      </c>
      <c r="Q49" s="637">
        <v>28</v>
      </c>
      <c r="R49" s="637">
        <v>24</v>
      </c>
      <c r="S49" s="637">
        <v>22</v>
      </c>
      <c r="T49" s="637">
        <v>29</v>
      </c>
      <c r="U49" s="1138">
        <v>25</v>
      </c>
      <c r="V49" s="1138">
        <v>26</v>
      </c>
      <c r="W49" s="1139">
        <v>24</v>
      </c>
      <c r="X49" s="563" t="s">
        <v>571</v>
      </c>
      <c r="Y49" s="666">
        <v>29.5</v>
      </c>
      <c r="Z49" s="667">
        <v>35.5</v>
      </c>
      <c r="AA49" s="667">
        <v>26</v>
      </c>
      <c r="AB49" s="667">
        <v>25.5</v>
      </c>
      <c r="AC49" s="667">
        <v>25.5</v>
      </c>
      <c r="AD49" s="668">
        <v>0.20338983050847459</v>
      </c>
      <c r="AE49" s="668">
        <v>-0.26760563380281688</v>
      </c>
      <c r="AF49" s="668">
        <v>-1.9230769230769232E-2</v>
      </c>
      <c r="AG49" s="1213">
        <v>-0.26760563380281688</v>
      </c>
      <c r="AN49" s="563" t="s">
        <v>571</v>
      </c>
      <c r="AO49" s="636">
        <v>0</v>
      </c>
      <c r="AP49" s="637">
        <v>93.997969999999995</v>
      </c>
      <c r="AQ49" s="637">
        <v>244.11362399999999</v>
      </c>
      <c r="AR49" s="637">
        <v>391.81209799999999</v>
      </c>
      <c r="AS49" s="637">
        <v>447.65952299999998</v>
      </c>
      <c r="AT49" s="637">
        <v>426.01184499999999</v>
      </c>
      <c r="AU49" s="637">
        <v>669.55009099999995</v>
      </c>
      <c r="AV49" s="173">
        <v>521.00635699999998</v>
      </c>
      <c r="AW49" s="636">
        <v>0</v>
      </c>
      <c r="AX49" s="637">
        <v>51.379957602039362</v>
      </c>
      <c r="AY49" s="637">
        <v>271.75174617870039</v>
      </c>
      <c r="AZ49" s="637">
        <v>449.938857888955</v>
      </c>
      <c r="BA49" s="637">
        <v>453.4125634624429</v>
      </c>
      <c r="BB49" s="637">
        <v>293.52430354969653</v>
      </c>
      <c r="BC49" s="637">
        <v>660.27791292785173</v>
      </c>
      <c r="BD49" s="173">
        <v>499.39460391298451</v>
      </c>
      <c r="BE49" s="1137">
        <v>0</v>
      </c>
      <c r="BF49" s="1138">
        <v>81.339210089570699</v>
      </c>
      <c r="BG49" s="1138">
        <v>238.383625017806</v>
      </c>
      <c r="BH49" s="1138">
        <v>412.38818560963199</v>
      </c>
      <c r="BI49" s="1138">
        <v>513.82802815782702</v>
      </c>
      <c r="BJ49" s="1138">
        <v>304.02010884394502</v>
      </c>
      <c r="BK49" s="1138">
        <v>734.42996489126199</v>
      </c>
      <c r="BL49" s="1139">
        <v>429.35116043010203</v>
      </c>
      <c r="BN49" s="563" t="s">
        <v>571</v>
      </c>
      <c r="BO49" s="647">
        <v>427.15515299999998</v>
      </c>
      <c r="BP49" s="648">
        <v>756.42565400000001</v>
      </c>
      <c r="BQ49" s="648">
        <v>585.25725799999998</v>
      </c>
      <c r="BR49" s="648">
        <v>687.92027099999996</v>
      </c>
      <c r="BS49" s="648">
        <v>375.45596</v>
      </c>
      <c r="BT49" s="173">
        <v>374.09238499999998</v>
      </c>
      <c r="BU49" s="647">
        <v>405.53776759129227</v>
      </c>
      <c r="BV49" s="648">
        <v>734.40606660266587</v>
      </c>
      <c r="BW49" s="648">
        <v>489.7147530023139</v>
      </c>
      <c r="BX49" s="648">
        <v>676.00478918521071</v>
      </c>
      <c r="BY49" s="648">
        <v>393.37586860238741</v>
      </c>
      <c r="BZ49" s="173">
        <v>381.17847203765643</v>
      </c>
      <c r="CA49" s="1137">
        <v>425.44666624183998</v>
      </c>
      <c r="CB49" s="1138">
        <v>689.58409421634303</v>
      </c>
      <c r="CC49" s="1138">
        <v>512.19099545550398</v>
      </c>
      <c r="CD49" s="1138">
        <v>669.22180620075699</v>
      </c>
      <c r="CE49" s="1138">
        <v>441.86374863708301</v>
      </c>
      <c r="CF49" s="1139">
        <v>400.87963853045801</v>
      </c>
      <c r="CG49" s="429"/>
      <c r="CH49" s="563" t="s">
        <v>571</v>
      </c>
      <c r="CI49" s="172">
        <v>692.94848200000001</v>
      </c>
      <c r="CJ49" s="337">
        <v>1947.880222</v>
      </c>
      <c r="CK49" s="337">
        <v>565.47797700000001</v>
      </c>
      <c r="CL49" s="647">
        <v>673.39037802221765</v>
      </c>
      <c r="CM49" s="648">
        <v>1820.3351725326979</v>
      </c>
      <c r="CN49" s="648">
        <v>586.49216646661091</v>
      </c>
      <c r="CO49" s="1137">
        <v>690.21458356406094</v>
      </c>
      <c r="CP49" s="1138">
        <v>1770.75271989147</v>
      </c>
      <c r="CQ49" s="1139">
        <v>678.21964582645001</v>
      </c>
      <c r="CR49" s="429"/>
      <c r="CS49" s="233" t="s">
        <v>647</v>
      </c>
      <c r="CT49" s="243">
        <f t="shared" si="38"/>
        <v>-4.5874059928653073E-2</v>
      </c>
      <c r="CU49" s="239">
        <f t="shared" si="39"/>
        <v>9.2940662036169991E-2</v>
      </c>
      <c r="CV49" s="320">
        <f t="shared" si="40"/>
        <v>-5.2056234655836156E-2</v>
      </c>
      <c r="CW49" s="239">
        <f t="shared" si="41"/>
        <v>0.10207576712399247</v>
      </c>
      <c r="CX49" s="321">
        <f t="shared" si="42"/>
        <v>-4.2780655108756352E-2</v>
      </c>
      <c r="CY49" s="239">
        <f t="shared" si="43"/>
        <v>8.0903549292843671E-2</v>
      </c>
      <c r="CZ49" s="320">
        <f t="shared" si="44"/>
        <v>-5.4786263881917575E-2</v>
      </c>
      <c r="DA49" s="240">
        <f t="shared" si="45"/>
        <v>9.251217940146024E-2</v>
      </c>
      <c r="DB49" s="426"/>
      <c r="DC49" s="426"/>
      <c r="DD49" s="426"/>
      <c r="DE49" s="426"/>
      <c r="DG49" s="563" t="s">
        <v>571</v>
      </c>
      <c r="DH49" s="1147" t="s">
        <v>761</v>
      </c>
      <c r="DI49" s="1150" t="s">
        <v>951</v>
      </c>
      <c r="DJ49" s="704" t="s">
        <v>952</v>
      </c>
      <c r="DK49" s="704" t="s">
        <v>953</v>
      </c>
      <c r="DL49" s="337" t="s">
        <v>954</v>
      </c>
      <c r="DM49" s="174" t="s">
        <v>790</v>
      </c>
      <c r="DO49" s="559" t="s">
        <v>571</v>
      </c>
      <c r="DP49" s="704">
        <v>1393.6484</v>
      </c>
      <c r="DQ49" s="337">
        <v>1407.5835353758446</v>
      </c>
      <c r="DR49" s="1139">
        <v>1473.2288212952201</v>
      </c>
      <c r="DS49" s="63"/>
      <c r="DT49" s="563" t="s">
        <v>571</v>
      </c>
      <c r="DU49" s="172">
        <v>2942.3070029999999</v>
      </c>
      <c r="DV49" s="337">
        <v>2838.2179061476072</v>
      </c>
      <c r="DW49" s="1139">
        <v>2906.1867126972802</v>
      </c>
      <c r="DX49" s="63"/>
      <c r="DY49" s="563" t="s">
        <v>571</v>
      </c>
      <c r="DZ49" s="1089">
        <f t="shared" si="32"/>
        <v>2.111226190910132</v>
      </c>
      <c r="EA49" s="787">
        <f t="shared" si="33"/>
        <v>2.0163761757768524</v>
      </c>
      <c r="EB49" s="776">
        <f t="shared" si="34"/>
        <v>1.9726648506253395</v>
      </c>
      <c r="ED49" s="541"/>
      <c r="EE49" s="563" t="s">
        <v>571</v>
      </c>
      <c r="EF49" s="735">
        <v>539.26774599999999</v>
      </c>
      <c r="EG49" s="736">
        <v>46.23498</v>
      </c>
      <c r="EH49" s="736">
        <v>343.36635999999999</v>
      </c>
      <c r="EI49" s="736">
        <v>365.58290899999997</v>
      </c>
      <c r="EJ49" s="736">
        <v>99.196404999999999</v>
      </c>
      <c r="EK49" s="703">
        <v>585.95555433693414</v>
      </c>
      <c r="EL49" s="704">
        <v>55.272876385579643</v>
      </c>
      <c r="EM49" s="704">
        <v>348.53987138157481</v>
      </c>
      <c r="EN49" s="704">
        <v>300.15659429428035</v>
      </c>
      <c r="EO49" s="704">
        <v>117.65863897747565</v>
      </c>
      <c r="EP49" s="1137">
        <v>648.24058696953705</v>
      </c>
      <c r="EQ49" s="1138">
        <v>47.346592503328601</v>
      </c>
      <c r="ER49" s="1138">
        <v>349.73397463989699</v>
      </c>
      <c r="ES49" s="1138">
        <v>291.02576742497598</v>
      </c>
      <c r="ET49" s="1139">
        <v>136.88189975748401</v>
      </c>
      <c r="EV49" s="563" t="s">
        <v>571</v>
      </c>
      <c r="EW49" s="703">
        <v>124.703611</v>
      </c>
      <c r="EX49" s="704">
        <v>218.785403</v>
      </c>
      <c r="EY49" s="704">
        <v>157.43445800000001</v>
      </c>
      <c r="EZ49" s="704">
        <v>37.344275000000003</v>
      </c>
      <c r="FA49" s="703">
        <v>545.50560800000005</v>
      </c>
      <c r="FB49" s="704">
        <v>1244.5292340000001</v>
      </c>
      <c r="FC49" s="704">
        <v>621.94303500000001</v>
      </c>
      <c r="FD49" s="704">
        <v>108.173967</v>
      </c>
      <c r="FE49" s="703">
        <v>117.19572828148777</v>
      </c>
      <c r="FF49" s="704">
        <v>221.02353440834631</v>
      </c>
      <c r="FG49" s="704">
        <v>191.73140293722557</v>
      </c>
      <c r="FH49" s="173">
        <v>54.004890272899928</v>
      </c>
      <c r="FI49" s="703">
        <v>531.32715768736387</v>
      </c>
      <c r="FJ49" s="704">
        <v>1086.7855805797697</v>
      </c>
      <c r="FK49" s="746">
        <v>680.544297598497</v>
      </c>
      <c r="FL49" s="747">
        <v>125.02310972429945</v>
      </c>
      <c r="FM49" s="1137">
        <v>102.908097957024</v>
      </c>
      <c r="FN49" s="1138">
        <v>295.85559293559999</v>
      </c>
      <c r="FO49" s="1138">
        <v>203.57371195573899</v>
      </c>
      <c r="FP49" s="1139">
        <v>43.9031820904044</v>
      </c>
      <c r="FQ49" s="1137">
        <v>498.61948482642703</v>
      </c>
      <c r="FR49" s="1138">
        <v>1117.81210075177</v>
      </c>
      <c r="FS49" s="1138">
        <v>736.51588561341305</v>
      </c>
      <c r="FT49" s="1139">
        <v>130.79257830997901</v>
      </c>
      <c r="FV49" s="559" t="s">
        <v>571</v>
      </c>
      <c r="FW49" s="337">
        <v>374.63494800000001</v>
      </c>
      <c r="FX49" s="337">
        <v>227.36864600000001</v>
      </c>
      <c r="FY49" s="337">
        <v>148.50794099999999</v>
      </c>
      <c r="FZ49" s="173">
        <v>61.296714999999999</v>
      </c>
      <c r="GA49" s="703">
        <v>384.87664968578815</v>
      </c>
      <c r="GB49" s="704">
        <v>184.06269353170555</v>
      </c>
      <c r="GC49" s="704">
        <v>139.72809658566626</v>
      </c>
      <c r="GD49" s="173">
        <v>57.687664850170897</v>
      </c>
      <c r="GE49" s="1137">
        <v>391.11382285985002</v>
      </c>
      <c r="GF49" s="1138">
        <v>196.61798158125299</v>
      </c>
      <c r="GG49" s="1138">
        <v>141.831773288828</v>
      </c>
      <c r="GH49" s="1139">
        <v>51.558415243322401</v>
      </c>
      <c r="GJ49" s="563" t="s">
        <v>571</v>
      </c>
      <c r="GK49" s="703">
        <v>1480.4983010000001</v>
      </c>
      <c r="GL49" s="704">
        <v>1515.4989015177132</v>
      </c>
      <c r="GM49" s="1139">
        <v>1619.5014958929601</v>
      </c>
      <c r="GO49" s="563" t="s">
        <v>571</v>
      </c>
      <c r="GP49" s="703">
        <v>1392.6484009999999</v>
      </c>
      <c r="GQ49" s="704">
        <v>17.441745000000001</v>
      </c>
      <c r="GR49" s="173">
        <v>70.408153999999996</v>
      </c>
      <c r="GS49" s="703">
        <v>1405.5835369388701</v>
      </c>
      <c r="GT49" s="704">
        <v>15.021636297470931</v>
      </c>
      <c r="GU49" s="173">
        <v>94.893728281372162</v>
      </c>
      <c r="GV49" s="1137">
        <v>1473.2288212952201</v>
      </c>
      <c r="GW49" s="1138">
        <v>15.208084542488599</v>
      </c>
      <c r="GX49" s="1139">
        <v>131.064590055244</v>
      </c>
      <c r="GZ49" s="563" t="s">
        <v>571</v>
      </c>
      <c r="HA49" s="703">
        <v>694.19844699999999</v>
      </c>
      <c r="HB49" s="704">
        <v>786.29985299999998</v>
      </c>
      <c r="HC49" s="173">
        <f t="shared" si="7"/>
        <v>1.0000001111620804E-6</v>
      </c>
      <c r="HD49" s="703">
        <v>656.2596815706487</v>
      </c>
      <c r="HE49" s="704">
        <v>859.23921994706438</v>
      </c>
      <c r="HF49" s="173">
        <f t="shared" si="8"/>
        <v>0</v>
      </c>
      <c r="HG49" s="583">
        <v>658.47353396724395</v>
      </c>
      <c r="HH49" s="1138">
        <v>953.93224414296606</v>
      </c>
      <c r="HI49" s="173">
        <f t="shared" si="9"/>
        <v>7.0957177827499436</v>
      </c>
      <c r="HK49" s="563" t="s">
        <v>571</v>
      </c>
      <c r="HL49" s="704">
        <v>1392.6484009999999</v>
      </c>
      <c r="HM49" s="704">
        <v>5117.7287690000003</v>
      </c>
      <c r="HN49" s="776">
        <f t="shared" si="10"/>
        <v>3.6748175385295978</v>
      </c>
      <c r="HO49" s="703">
        <v>1405.5835369388701</v>
      </c>
      <c r="HP49" s="704">
        <v>5371.8858687457323</v>
      </c>
      <c r="HQ49" s="776">
        <f t="shared" si="11"/>
        <v>3.8218190008434623</v>
      </c>
      <c r="HR49" s="1138">
        <v>1473.2288212952201</v>
      </c>
      <c r="HS49" s="1138">
        <v>5365.6930910868005</v>
      </c>
      <c r="HT49" s="784">
        <f t="shared" si="12"/>
        <v>3.6421314961578326</v>
      </c>
      <c r="HV49" s="563" t="s">
        <v>571</v>
      </c>
      <c r="HW49" s="172">
        <v>648.64992400000006</v>
      </c>
      <c r="HX49" s="337">
        <v>3249.737091</v>
      </c>
      <c r="HY49" s="787">
        <f t="shared" si="13"/>
        <v>5.0100014981270542</v>
      </c>
      <c r="HZ49" s="704">
        <v>743.99847699999998</v>
      </c>
      <c r="IA49" s="704">
        <v>1867.9916780000001</v>
      </c>
      <c r="IB49" s="787">
        <f t="shared" si="14"/>
        <v>2.5107466422945381</v>
      </c>
      <c r="IC49" s="703">
        <v>624.72007069794722</v>
      </c>
      <c r="ID49" s="704">
        <v>3274.7107000294282</v>
      </c>
      <c r="IE49" s="787">
        <f t="shared" si="15"/>
        <v>5.2418848915336902</v>
      </c>
      <c r="IF49" s="704">
        <v>780.86346624092289</v>
      </c>
      <c r="IG49" s="704">
        <v>2097.1751687163051</v>
      </c>
      <c r="IH49" s="776">
        <f t="shared" si="16"/>
        <v>2.6857130079501701</v>
      </c>
      <c r="II49" s="1137">
        <v>609.32841981219201</v>
      </c>
      <c r="IJ49" s="1138">
        <v>3206.3269277337199</v>
      </c>
      <c r="IK49" s="1170">
        <f t="shared" si="17"/>
        <v>5.2620669305429377</v>
      </c>
      <c r="IL49" s="1138">
        <v>856.80468370028495</v>
      </c>
      <c r="IM49" s="1138">
        <v>2148.7900944194398</v>
      </c>
      <c r="IN49" s="1171">
        <f t="shared" si="18"/>
        <v>2.5079112372955916</v>
      </c>
      <c r="IP49" s="563" t="s">
        <v>571</v>
      </c>
      <c r="IQ49" s="172">
        <v>214.92979600000001</v>
      </c>
      <c r="IR49" s="704">
        <v>155.44713999999999</v>
      </c>
      <c r="IS49" s="704">
        <v>309.01955700000002</v>
      </c>
      <c r="IT49" s="704">
        <v>299.16548</v>
      </c>
      <c r="IU49" s="704">
        <v>414.08642700000001</v>
      </c>
      <c r="IV49" s="704">
        <v>5117.7287690000003</v>
      </c>
      <c r="IW49" s="703">
        <v>143.1634357737918</v>
      </c>
      <c r="IX49" s="704">
        <v>219.46853620026599</v>
      </c>
      <c r="IY49" s="704">
        <v>299.39485243531323</v>
      </c>
      <c r="IZ49" s="704">
        <v>308.26274080890988</v>
      </c>
      <c r="JA49" s="704">
        <v>435.29397172058918</v>
      </c>
      <c r="JB49" s="173">
        <v>5371.8858687457323</v>
      </c>
      <c r="JC49" s="1137">
        <v>145.53877515411801</v>
      </c>
      <c r="JD49" s="1138">
        <v>332.52106896100202</v>
      </c>
      <c r="JE49" s="1138">
        <v>322.05225180695402</v>
      </c>
      <c r="JF49" s="1138">
        <v>231.693040170133</v>
      </c>
      <c r="JG49" s="1138">
        <v>441.42368520301301</v>
      </c>
      <c r="JH49" s="1139">
        <v>5365.6930910868005</v>
      </c>
      <c r="JJ49" s="563" t="s">
        <v>571</v>
      </c>
      <c r="JK49" s="172">
        <v>627.94767200000001</v>
      </c>
      <c r="JL49" s="337">
        <v>270.71246599999995</v>
      </c>
      <c r="JM49" s="337">
        <v>467.36036200000001</v>
      </c>
      <c r="JN49" s="173">
        <v>26.627901000000001</v>
      </c>
      <c r="JO49" s="703">
        <v>596.00297866569588</v>
      </c>
      <c r="JP49" s="704">
        <v>423.5106474997238</v>
      </c>
      <c r="JQ49" s="704">
        <v>359.00012816670784</v>
      </c>
      <c r="JR49" s="173">
        <v>27.069782606742532</v>
      </c>
      <c r="JS49" s="1137">
        <v>608.81546106790199</v>
      </c>
      <c r="JT49" s="1138">
        <v>323.05209140405202</v>
      </c>
      <c r="JU49" s="1138">
        <v>517.45603842212802</v>
      </c>
      <c r="JV49" s="1139">
        <v>23.905230401140098</v>
      </c>
      <c r="JX49" s="563" t="s">
        <v>571</v>
      </c>
      <c r="JY49" s="703">
        <v>217.282691312362</v>
      </c>
      <c r="JZ49" s="704">
        <v>323.05080440608401</v>
      </c>
      <c r="KA49" s="704">
        <v>280.494341470949</v>
      </c>
      <c r="KB49" s="173">
        <v>652.40098410582596</v>
      </c>
      <c r="KC49" s="603"/>
      <c r="KD49" s="563" t="s">
        <v>571</v>
      </c>
      <c r="KE49" s="703">
        <v>0</v>
      </c>
      <c r="KF49" s="704">
        <v>28.221005505879798</v>
      </c>
      <c r="KG49" s="704">
        <v>128.484727994276</v>
      </c>
      <c r="KH49" s="704">
        <v>358.280986184075</v>
      </c>
      <c r="KI49" s="704">
        <v>241.37271059392401</v>
      </c>
      <c r="KJ49" s="173">
        <v>80.564020845524098</v>
      </c>
      <c r="KK49" s="703">
        <v>94.137369789764094</v>
      </c>
      <c r="KL49" s="704">
        <v>102.819436010232</v>
      </c>
      <c r="KM49" s="704">
        <v>117.35942317336399</v>
      </c>
      <c r="KN49" s="704">
        <v>140.748229159895</v>
      </c>
      <c r="KO49" s="704">
        <v>116.182110748409</v>
      </c>
      <c r="KP49" s="173">
        <v>33.979393062089102</v>
      </c>
      <c r="KQ49" s="703">
        <v>94.137369789764094</v>
      </c>
      <c r="KR49" s="704">
        <v>131.040441516112</v>
      </c>
      <c r="KS49" s="704">
        <v>249.459517799488</v>
      </c>
      <c r="KT49" s="704">
        <v>499.02921534397001</v>
      </c>
      <c r="KU49" s="704">
        <v>361.03517249322903</v>
      </c>
      <c r="KV49" s="173">
        <v>114.543413907613</v>
      </c>
      <c r="KW49" s="429"/>
      <c r="KX49" s="563" t="s">
        <v>571</v>
      </c>
      <c r="KY49" s="172">
        <f t="shared" si="35"/>
        <v>249.71669900000006</v>
      </c>
      <c r="KZ49" s="337">
        <v>724.04644599999995</v>
      </c>
      <c r="LA49" s="173">
        <v>419.88525499999997</v>
      </c>
      <c r="LB49" s="172">
        <f t="shared" si="36"/>
        <v>184.51061412028025</v>
      </c>
      <c r="LC49" s="704">
        <v>827.32608780239798</v>
      </c>
      <c r="LD49" s="173">
        <v>395.74683345316623</v>
      </c>
      <c r="LE49" s="172">
        <f t="shared" si="37"/>
        <v>263.86476557796618</v>
      </c>
      <c r="LF49" s="1138">
        <v>747.04881186053399</v>
      </c>
      <c r="LG49" s="1139">
        <v>462.31524385671997</v>
      </c>
      <c r="LH49" s="426"/>
      <c r="LI49" s="563" t="s">
        <v>571</v>
      </c>
      <c r="LJ49" s="172">
        <v>1588.7324530000001</v>
      </c>
      <c r="LK49" s="337">
        <v>1383.09214</v>
      </c>
      <c r="LL49" s="337">
        <v>205.64031299999999</v>
      </c>
      <c r="LM49" s="337">
        <v>345.388262</v>
      </c>
      <c r="LN49" s="337">
        <v>139.09094400000001</v>
      </c>
      <c r="LO49" s="173">
        <v>140.46189200000001</v>
      </c>
      <c r="LP49" s="703">
        <v>1509.8743356517989</v>
      </c>
      <c r="LQ49" s="704">
        <v>1296.5627385370235</v>
      </c>
      <c r="LR49" s="704">
        <v>213.31159711477531</v>
      </c>
      <c r="LS49" s="704">
        <v>343.57234538154586</v>
      </c>
      <c r="LT49" s="704">
        <v>138.55164285207891</v>
      </c>
      <c r="LU49" s="173">
        <v>96.189459078199761</v>
      </c>
      <c r="LV49" s="1137">
        <v>1542.2461354259201</v>
      </c>
      <c r="LW49" s="1138">
        <v>1338.91797120918</v>
      </c>
      <c r="LX49" s="1138">
        <v>203.328164216733</v>
      </c>
      <c r="LY49" s="1138">
        <v>287.60099509616902</v>
      </c>
      <c r="LZ49" s="1138">
        <v>95.657054598027102</v>
      </c>
      <c r="MA49" s="1139">
        <v>110.016452093582</v>
      </c>
      <c r="MC49" s="563" t="s">
        <v>571</v>
      </c>
      <c r="MD49" s="172">
        <v>0</v>
      </c>
      <c r="ME49" s="337">
        <v>82.806850999999995</v>
      </c>
      <c r="MF49" s="337">
        <v>221.99207699999999</v>
      </c>
      <c r="MG49" s="337">
        <v>355.142135</v>
      </c>
      <c r="MH49" s="337">
        <v>369.42334899999997</v>
      </c>
      <c r="MI49" s="173">
        <v>356.72772500000002</v>
      </c>
      <c r="MJ49" s="703">
        <v>0</v>
      </c>
      <c r="MK49" s="704">
        <v>44.347914733569603</v>
      </c>
      <c r="ML49" s="704">
        <v>242.30697281281121</v>
      </c>
      <c r="MM49" s="704">
        <v>410.62539685668082</v>
      </c>
      <c r="MN49" s="704">
        <v>374.02316822451854</v>
      </c>
      <c r="MO49" s="173">
        <v>227.25928434641784</v>
      </c>
      <c r="MP49" s="1137">
        <v>0</v>
      </c>
      <c r="MQ49" s="1138">
        <v>76.842194519613102</v>
      </c>
      <c r="MR49" s="1138">
        <v>218.29874250034501</v>
      </c>
      <c r="MS49" s="1138">
        <v>373.75021975884403</v>
      </c>
      <c r="MT49" s="1138">
        <v>430.28690342895601</v>
      </c>
      <c r="MU49" s="1139">
        <v>245.73991709373701</v>
      </c>
      <c r="MW49" s="563" t="s">
        <v>571</v>
      </c>
      <c r="MX49" s="172">
        <v>1399.0200620000001</v>
      </c>
      <c r="MY49" s="337">
        <v>1248.19156</v>
      </c>
      <c r="MZ49" s="337">
        <v>150.82850099999999</v>
      </c>
      <c r="NA49" s="703">
        <v>1311.756639200971</v>
      </c>
      <c r="NB49" s="704">
        <v>1200.5390895768974</v>
      </c>
      <c r="NC49" s="173">
        <v>111.21754962407364</v>
      </c>
      <c r="ND49" s="1137">
        <v>1353.23046490967</v>
      </c>
      <c r="NE49" s="1138">
        <v>1178.4593867751901</v>
      </c>
      <c r="NF49" s="1139">
        <v>174.77107813448899</v>
      </c>
      <c r="NH49" s="563" t="s">
        <v>571</v>
      </c>
      <c r="NI49" s="703">
        <v>994.82595262711595</v>
      </c>
      <c r="NJ49" s="173">
        <v>205.71313694978139</v>
      </c>
      <c r="NK49" s="703">
        <v>57.518641368520889</v>
      </c>
      <c r="NL49" s="704">
        <v>53.698908255552759</v>
      </c>
      <c r="NM49" s="173">
        <v>0</v>
      </c>
      <c r="NN49" s="1137">
        <v>959.94785069618695</v>
      </c>
      <c r="NO49" s="1139">
        <v>218.51153607899792</v>
      </c>
      <c r="NP49" s="1137">
        <v>101.051905489817</v>
      </c>
      <c r="NQ49" s="1138">
        <v>70.223833558499905</v>
      </c>
      <c r="NR49" s="1139">
        <v>3.4953390861722902</v>
      </c>
      <c r="NS49" s="136"/>
      <c r="NT49" s="563" t="s">
        <v>571</v>
      </c>
      <c r="NU49" s="703">
        <v>120.37208910778264</v>
      </c>
      <c r="NV49" s="704">
        <v>11.3706925774654</v>
      </c>
      <c r="NW49" s="704">
        <v>19.7973558320367</v>
      </c>
      <c r="NX49" s="173">
        <v>54.172999432496653</v>
      </c>
      <c r="NY49" s="1137">
        <v>132.36258323347101</v>
      </c>
      <c r="NZ49" s="1138">
        <v>29.084754347891302</v>
      </c>
      <c r="OA49" s="1138">
        <v>10.441053452690801</v>
      </c>
      <c r="OB49" s="1139">
        <v>46.623145044944799</v>
      </c>
      <c r="OC49" s="553"/>
      <c r="OD49" s="563" t="s">
        <v>571</v>
      </c>
      <c r="OE49" s="703">
        <v>75.176719947086895</v>
      </c>
      <c r="OF49" s="704">
        <v>138.84399667316899</v>
      </c>
      <c r="OG49" s="704">
        <v>94.705177730005204</v>
      </c>
      <c r="OH49" s="704">
        <v>118.39304254223001</v>
      </c>
      <c r="OI49" s="704">
        <v>228.862435296315</v>
      </c>
      <c r="OJ49" s="704">
        <v>28.9082075275645</v>
      </c>
      <c r="OK49" s="173">
        <v>29.752565915378199</v>
      </c>
      <c r="OL49" s="703">
        <v>104.629259048579</v>
      </c>
      <c r="OM49" s="704">
        <v>151.54622334790301</v>
      </c>
      <c r="ON49" s="704">
        <v>94.705177730005204</v>
      </c>
      <c r="OO49" s="704">
        <v>129.68153971643301</v>
      </c>
      <c r="OP49" s="704">
        <v>386.93796338692403</v>
      </c>
      <c r="OQ49" s="704">
        <v>172.964591112985</v>
      </c>
      <c r="OR49" s="173">
        <v>2024.1561888238</v>
      </c>
      <c r="OT49" s="563" t="s">
        <v>571</v>
      </c>
      <c r="OU49" s="172">
        <v>820.600368</v>
      </c>
      <c r="OV49" s="337">
        <v>525.84955000000002</v>
      </c>
      <c r="OW49" s="337">
        <v>378.79760399999998</v>
      </c>
      <c r="OX49" s="173">
        <v>596.25666000000001</v>
      </c>
      <c r="OY49" s="703">
        <v>716.62757591935747</v>
      </c>
      <c r="OZ49" s="704">
        <v>475.88871718919648</v>
      </c>
      <c r="PA49" s="704">
        <v>342.8828960724411</v>
      </c>
      <c r="PB49" s="173">
        <v>691.81181189478548</v>
      </c>
      <c r="PC49" s="1137">
        <v>548.72593034147201</v>
      </c>
      <c r="PD49" s="1138">
        <v>551.94065056014404</v>
      </c>
      <c r="PE49" s="1138">
        <v>369.246283496822</v>
      </c>
      <c r="PF49" s="1139">
        <v>837.911167360219</v>
      </c>
      <c r="PH49" s="563" t="s">
        <v>571</v>
      </c>
      <c r="PI49" s="703">
        <v>212.58500758695527</v>
      </c>
      <c r="PJ49" s="704">
        <v>277.091300049425</v>
      </c>
      <c r="PK49" s="704">
        <v>200.756940060874</v>
      </c>
      <c r="PL49" s="173">
        <v>400.62430588102603</v>
      </c>
      <c r="PM49" s="703">
        <v>336.14092275451765</v>
      </c>
      <c r="PN49" s="704">
        <v>274.84935051071898</v>
      </c>
      <c r="PO49" s="704">
        <v>168.489343435948</v>
      </c>
      <c r="PP49" s="173">
        <v>437.28686147919302</v>
      </c>
      <c r="PQ49" s="65"/>
      <c r="PR49" s="563" t="s">
        <v>571</v>
      </c>
      <c r="PS49" s="1038">
        <v>59.607243331456701</v>
      </c>
      <c r="PT49" s="1039">
        <v>23.9791923945048</v>
      </c>
      <c r="PU49" s="1039">
        <v>52.009260191401502</v>
      </c>
      <c r="PV49" s="1039">
        <v>36.611606494918298</v>
      </c>
      <c r="PW49" s="1039">
        <v>956.34229639882699</v>
      </c>
      <c r="PX49" s="1040">
        <v>229.680871175492</v>
      </c>
      <c r="PZ49" s="563" t="s">
        <v>571</v>
      </c>
      <c r="QA49" s="1038">
        <v>774.30071441559005</v>
      </c>
      <c r="QB49" s="1039">
        <v>578.92975049408403</v>
      </c>
      <c r="QC49" s="1039">
        <v>471.598954195727</v>
      </c>
      <c r="QD49" s="1039">
        <v>28.752198149966599</v>
      </c>
      <c r="QE49" s="1039">
        <v>78.578598148391293</v>
      </c>
      <c r="QF49" s="1040">
        <v>0</v>
      </c>
    </row>
    <row r="50" spans="1:448" ht="13.5" customHeight="1">
      <c r="A50" s="593" t="s">
        <v>515</v>
      </c>
      <c r="B50" s="559" t="s">
        <v>572</v>
      </c>
      <c r="C50" s="1103">
        <v>2925.7418859999998</v>
      </c>
      <c r="D50" s="690">
        <v>3195.6356909183669</v>
      </c>
      <c r="E50" s="691">
        <v>3398.7246474081298</v>
      </c>
      <c r="F50" s="428"/>
      <c r="G50" s="563" t="s">
        <v>572</v>
      </c>
      <c r="H50" s="686">
        <f t="shared" si="5"/>
        <v>1.7804228297367608E-2</v>
      </c>
      <c r="I50" s="668">
        <f t="shared" si="6"/>
        <v>1.2399084137420635E-2</v>
      </c>
      <c r="J50" s="612"/>
      <c r="K50" s="63"/>
      <c r="L50" s="559" t="s">
        <v>572</v>
      </c>
      <c r="M50" s="636">
        <v>24</v>
      </c>
      <c r="N50" s="637">
        <v>24</v>
      </c>
      <c r="O50" s="637">
        <v>24</v>
      </c>
      <c r="P50" s="637">
        <v>23</v>
      </c>
      <c r="Q50" s="637">
        <v>22</v>
      </c>
      <c r="R50" s="637">
        <v>24</v>
      </c>
      <c r="S50" s="637">
        <v>26</v>
      </c>
      <c r="T50" s="637">
        <v>19</v>
      </c>
      <c r="U50" s="1138">
        <v>25</v>
      </c>
      <c r="V50" s="1138">
        <v>23</v>
      </c>
      <c r="W50" s="1139">
        <v>36</v>
      </c>
      <c r="X50" s="563" t="s">
        <v>572</v>
      </c>
      <c r="Y50" s="666">
        <v>24</v>
      </c>
      <c r="Z50" s="667">
        <v>23.5</v>
      </c>
      <c r="AA50" s="667">
        <v>23</v>
      </c>
      <c r="AB50" s="667">
        <v>22.5</v>
      </c>
      <c r="AC50" s="667">
        <v>22.5</v>
      </c>
      <c r="AD50" s="668">
        <v>-2.0833333333333332E-2</v>
      </c>
      <c r="AE50" s="668">
        <v>-2.1276595744680851E-2</v>
      </c>
      <c r="AF50" s="668">
        <v>-2.1739130434782608E-2</v>
      </c>
      <c r="AG50" s="1213">
        <v>-2.1276595744680851E-2</v>
      </c>
      <c r="AN50" s="563" t="s">
        <v>572</v>
      </c>
      <c r="AO50" s="636">
        <v>0</v>
      </c>
      <c r="AP50" s="637">
        <v>58.148774000000003</v>
      </c>
      <c r="AQ50" s="637">
        <v>335.814684</v>
      </c>
      <c r="AR50" s="637">
        <v>445.79464200000001</v>
      </c>
      <c r="AS50" s="637">
        <v>243.052774</v>
      </c>
      <c r="AT50" s="637">
        <v>246.50117599999999</v>
      </c>
      <c r="AU50" s="637">
        <v>666.77941199999998</v>
      </c>
      <c r="AV50" s="173">
        <v>676.12187800000004</v>
      </c>
      <c r="AW50" s="636">
        <v>0</v>
      </c>
      <c r="AX50" s="637">
        <v>81.225287436954545</v>
      </c>
      <c r="AY50" s="637">
        <v>361.73333989620602</v>
      </c>
      <c r="AZ50" s="637">
        <v>442.19778570743136</v>
      </c>
      <c r="BA50" s="637">
        <v>304.58201793917254</v>
      </c>
      <c r="BB50" s="637">
        <v>177.029162870774</v>
      </c>
      <c r="BC50" s="637">
        <v>678.4589926757626</v>
      </c>
      <c r="BD50" s="173">
        <v>822.23755828672392</v>
      </c>
      <c r="BE50" s="1137">
        <v>0</v>
      </c>
      <c r="BF50" s="1138">
        <v>86.825299214581705</v>
      </c>
      <c r="BG50" s="1138">
        <v>408.96364162071899</v>
      </c>
      <c r="BH50" s="1138">
        <v>481.81805202042801</v>
      </c>
      <c r="BI50" s="1138">
        <v>354.20365982163003</v>
      </c>
      <c r="BJ50" s="1138">
        <v>188.08650680021299</v>
      </c>
      <c r="BK50" s="1138">
        <v>817.40871896834506</v>
      </c>
      <c r="BL50" s="1139">
        <v>677.407581479594</v>
      </c>
      <c r="BN50" s="563" t="s">
        <v>572</v>
      </c>
      <c r="BO50" s="647">
        <v>268.52852899999999</v>
      </c>
      <c r="BP50" s="648">
        <v>1063.1774789999999</v>
      </c>
      <c r="BQ50" s="648">
        <v>517.55720899999994</v>
      </c>
      <c r="BR50" s="648">
        <v>348.37538799999999</v>
      </c>
      <c r="BS50" s="648">
        <v>268.179956</v>
      </c>
      <c r="BT50" s="173">
        <v>459.92332599999997</v>
      </c>
      <c r="BU50" s="647">
        <v>324.17154923139213</v>
      </c>
      <c r="BV50" s="648">
        <v>1125.7438737862308</v>
      </c>
      <c r="BW50" s="648">
        <v>441.66528149558002</v>
      </c>
      <c r="BX50" s="648">
        <v>464.56447982892132</v>
      </c>
      <c r="BY50" s="648">
        <v>402.24854524045458</v>
      </c>
      <c r="BZ50" s="173">
        <v>437.24196133578789</v>
      </c>
      <c r="CA50" s="1137">
        <v>384.01118748261598</v>
      </c>
      <c r="CB50" s="1138">
        <v>1132.85897000302</v>
      </c>
      <c r="CC50" s="1138">
        <v>556.07253965574296</v>
      </c>
      <c r="CD50" s="1138">
        <v>408.73972265957502</v>
      </c>
      <c r="CE50" s="1138">
        <v>431.49227050097198</v>
      </c>
      <c r="CF50" s="1139">
        <v>485.5499571062</v>
      </c>
      <c r="CG50" s="429"/>
      <c r="CH50" s="563" t="s">
        <v>572</v>
      </c>
      <c r="CI50" s="172">
        <v>582.33699100000001</v>
      </c>
      <c r="CJ50" s="337">
        <v>1723.5385779999999</v>
      </c>
      <c r="CK50" s="337">
        <v>619.86631799999998</v>
      </c>
      <c r="CL50" s="647">
        <v>688.79507390553852</v>
      </c>
      <c r="CM50" s="648">
        <v>1836.7189042379737</v>
      </c>
      <c r="CN50" s="648">
        <v>670.1217127748547</v>
      </c>
      <c r="CO50" s="1137">
        <v>741.78835862231404</v>
      </c>
      <c r="CP50" s="1138">
        <v>1902.2392329280999</v>
      </c>
      <c r="CQ50" s="1139">
        <v>754.69705585771305</v>
      </c>
      <c r="CR50" s="429"/>
      <c r="DB50" s="426"/>
      <c r="DC50" s="426"/>
      <c r="DD50" s="426"/>
      <c r="DE50" s="426"/>
      <c r="DG50" s="563" t="s">
        <v>572</v>
      </c>
      <c r="DH50" s="1147" t="s">
        <v>762</v>
      </c>
      <c r="DI50" s="1150" t="s">
        <v>955</v>
      </c>
      <c r="DJ50" s="704" t="s">
        <v>956</v>
      </c>
      <c r="DK50" s="704" t="s">
        <v>957</v>
      </c>
      <c r="DL50" s="337" t="s">
        <v>958</v>
      </c>
      <c r="DM50" s="174" t="s">
        <v>859</v>
      </c>
      <c r="DO50" s="559" t="s">
        <v>572</v>
      </c>
      <c r="DP50" s="704">
        <v>1488.1216899999999</v>
      </c>
      <c r="DQ50" s="337">
        <v>1583.9806283992559</v>
      </c>
      <c r="DR50" s="1139">
        <v>1711.12983064334</v>
      </c>
      <c r="DS50" s="63"/>
      <c r="DT50" s="563" t="s">
        <v>572</v>
      </c>
      <c r="DU50" s="172">
        <v>2416.7425069999999</v>
      </c>
      <c r="DV50" s="337">
        <v>2767.6360254058159</v>
      </c>
      <c r="DW50" s="1139">
        <v>2902.72414377716</v>
      </c>
      <c r="DX50" s="63"/>
      <c r="DY50" s="563" t="s">
        <v>572</v>
      </c>
      <c r="DZ50" s="1089">
        <f t="shared" si="32"/>
        <v>1.6240220966068979</v>
      </c>
      <c r="EA50" s="787">
        <f t="shared" si="33"/>
        <v>1.747266333807846</v>
      </c>
      <c r="EB50" s="776">
        <f t="shared" si="34"/>
        <v>1.696378668523248</v>
      </c>
      <c r="ED50" s="541"/>
      <c r="EE50" s="563" t="s">
        <v>572</v>
      </c>
      <c r="EF50" s="735">
        <v>889.99605499999996</v>
      </c>
      <c r="EG50" s="736">
        <v>39.807685999999997</v>
      </c>
      <c r="EH50" s="736">
        <v>341.94932</v>
      </c>
      <c r="EI50" s="736">
        <v>161.70585500000001</v>
      </c>
      <c r="EJ50" s="736">
        <v>54.662775000000003</v>
      </c>
      <c r="EK50" s="703">
        <v>851.322996466718</v>
      </c>
      <c r="EL50" s="704">
        <v>63.181023012262877</v>
      </c>
      <c r="EM50" s="704">
        <v>373.7942010693381</v>
      </c>
      <c r="EN50" s="704">
        <v>193.94338394418588</v>
      </c>
      <c r="EO50" s="704">
        <v>101.73902390675136</v>
      </c>
      <c r="EP50" s="1137">
        <v>1020.30792425999</v>
      </c>
      <c r="EQ50" s="1138">
        <v>48.631870201422103</v>
      </c>
      <c r="ER50" s="1138">
        <v>322.79514676588502</v>
      </c>
      <c r="ES50" s="1138">
        <v>217.98948847659301</v>
      </c>
      <c r="ET50" s="1139">
        <v>101.405400939453</v>
      </c>
      <c r="EV50" s="563" t="s">
        <v>572</v>
      </c>
      <c r="EW50" s="703">
        <v>216.44953799999999</v>
      </c>
      <c r="EX50" s="704">
        <v>348.52427399999999</v>
      </c>
      <c r="EY50" s="704">
        <v>178.69774799999999</v>
      </c>
      <c r="EZ50" s="704">
        <v>146.32449399999999</v>
      </c>
      <c r="FA50" s="703">
        <v>473.27771000000001</v>
      </c>
      <c r="FB50" s="704">
        <v>943.98753399999998</v>
      </c>
      <c r="FC50" s="704">
        <v>495.87430000000001</v>
      </c>
      <c r="FD50" s="704">
        <v>241.07442800000001</v>
      </c>
      <c r="FE50" s="703">
        <v>209.73024557620278</v>
      </c>
      <c r="FF50" s="704">
        <v>323.21245712714256</v>
      </c>
      <c r="FG50" s="704">
        <v>186.92902815579478</v>
      </c>
      <c r="FH50" s="173">
        <v>132.45126482606511</v>
      </c>
      <c r="FI50" s="703">
        <v>512.73229335988481</v>
      </c>
      <c r="FJ50" s="704">
        <v>1037.2595508173172</v>
      </c>
      <c r="FK50" s="746">
        <v>644.47875873533349</v>
      </c>
      <c r="FL50" s="747">
        <v>257.99386622827365</v>
      </c>
      <c r="FM50" s="1137">
        <v>191.482563209055</v>
      </c>
      <c r="FN50" s="1138">
        <v>437.16804767025502</v>
      </c>
      <c r="FO50" s="1138">
        <v>240.599736215593</v>
      </c>
      <c r="FP50" s="1139">
        <v>151.05757716508299</v>
      </c>
      <c r="FQ50" s="1137">
        <v>491.499906477948</v>
      </c>
      <c r="FR50" s="1138">
        <v>1174.61140550098</v>
      </c>
      <c r="FS50" s="1138">
        <v>589.00429277256501</v>
      </c>
      <c r="FT50" s="1139">
        <v>269.59735763536298</v>
      </c>
      <c r="FV50" s="559" t="s">
        <v>572</v>
      </c>
      <c r="FW50" s="337">
        <v>349.558177</v>
      </c>
      <c r="FX50" s="337">
        <v>99.290462000000005</v>
      </c>
      <c r="FY50" s="337">
        <v>76.754073000000005</v>
      </c>
      <c r="FZ50" s="173">
        <v>32.715235999999997</v>
      </c>
      <c r="GA50" s="703">
        <v>395.08883613315368</v>
      </c>
      <c r="GB50" s="704">
        <v>131.58062192950544</v>
      </c>
      <c r="GC50" s="704">
        <v>90.45082616182944</v>
      </c>
      <c r="GD50" s="173">
        <v>52.356324695786682</v>
      </c>
      <c r="GE50" s="1137">
        <v>349.33451067803998</v>
      </c>
      <c r="GF50" s="1138">
        <v>138.092795256568</v>
      </c>
      <c r="GG50" s="1138">
        <v>127.227666237233</v>
      </c>
      <c r="GH50" s="1139">
        <v>30.877291908226901</v>
      </c>
      <c r="GJ50" s="563" t="s">
        <v>572</v>
      </c>
      <c r="GK50" s="703">
        <v>1633.4981829999999</v>
      </c>
      <c r="GL50" s="704">
        <v>1824.4987605349804</v>
      </c>
      <c r="GM50" s="1139">
        <v>2062.5017394846</v>
      </c>
      <c r="GO50" s="563" t="s">
        <v>572</v>
      </c>
      <c r="GP50" s="703">
        <v>1489.1216890000001</v>
      </c>
      <c r="GQ50" s="704">
        <v>32.965843</v>
      </c>
      <c r="GR50" s="173">
        <v>111.410651</v>
      </c>
      <c r="GS50" s="703">
        <v>1585.9806268362308</v>
      </c>
      <c r="GT50" s="704">
        <v>28.933827387953471</v>
      </c>
      <c r="GU50" s="173">
        <v>209.58430631079628</v>
      </c>
      <c r="GV50" s="1137">
        <v>1713.12983267411</v>
      </c>
      <c r="GW50" s="1138">
        <v>64.430124271609102</v>
      </c>
      <c r="GX50" s="1139">
        <v>284.94178253888202</v>
      </c>
      <c r="GZ50" s="563" t="s">
        <v>572</v>
      </c>
      <c r="HA50" s="703">
        <v>530.74347899999998</v>
      </c>
      <c r="HB50" s="704">
        <v>1087.650543</v>
      </c>
      <c r="HC50" s="173">
        <f t="shared" si="7"/>
        <v>15.104160999999976</v>
      </c>
      <c r="HD50" s="703">
        <v>605.72446539959878</v>
      </c>
      <c r="HE50" s="704">
        <v>1185.3276677529868</v>
      </c>
      <c r="HF50" s="173">
        <f t="shared" si="8"/>
        <v>33.446627382394809</v>
      </c>
      <c r="HG50" s="583">
        <v>627.87093828663899</v>
      </c>
      <c r="HH50" s="1138">
        <v>1416.1216111644501</v>
      </c>
      <c r="HI50" s="173">
        <f t="shared" si="9"/>
        <v>18.509190033511004</v>
      </c>
      <c r="HK50" s="563" t="s">
        <v>572</v>
      </c>
      <c r="HL50" s="704">
        <v>1489.1216890000001</v>
      </c>
      <c r="HM50" s="704">
        <v>4557.7981570000002</v>
      </c>
      <c r="HN50" s="776">
        <f t="shared" si="10"/>
        <v>3.0607291470321201</v>
      </c>
      <c r="HO50" s="703">
        <v>1585.9806268362308</v>
      </c>
      <c r="HP50" s="704">
        <v>5210.5891280873084</v>
      </c>
      <c r="HQ50" s="776">
        <f t="shared" si="11"/>
        <v>3.2854052817035808</v>
      </c>
      <c r="HR50" s="1138">
        <v>1713.12983267411</v>
      </c>
      <c r="HS50" s="1138">
        <v>5354.15114657093</v>
      </c>
      <c r="HT50" s="784">
        <f t="shared" si="12"/>
        <v>3.12536215554274</v>
      </c>
      <c r="HV50" s="563" t="s">
        <v>572</v>
      </c>
      <c r="HW50" s="172">
        <v>485.45384999999999</v>
      </c>
      <c r="HX50" s="337">
        <v>2172.2321740000002</v>
      </c>
      <c r="HY50" s="787">
        <f t="shared" si="13"/>
        <v>4.4746419747211812</v>
      </c>
      <c r="HZ50" s="704">
        <v>988.56367799999998</v>
      </c>
      <c r="IA50" s="704">
        <v>2364.5378660000001</v>
      </c>
      <c r="IB50" s="787">
        <f t="shared" si="14"/>
        <v>2.3918923167233745</v>
      </c>
      <c r="IC50" s="703">
        <v>556.02923543095653</v>
      </c>
      <c r="ID50" s="704">
        <v>2733.4812211106641</v>
      </c>
      <c r="IE50" s="787">
        <f t="shared" si="15"/>
        <v>4.9160746358814205</v>
      </c>
      <c r="IF50" s="704">
        <v>1001.0719881526596</v>
      </c>
      <c r="IG50" s="704">
        <v>2440.1525637387558</v>
      </c>
      <c r="IH50" s="776">
        <f t="shared" si="16"/>
        <v>2.4375395502192814</v>
      </c>
      <c r="II50" s="1137">
        <v>562.23190493463699</v>
      </c>
      <c r="IJ50" s="1138">
        <v>2639.5376715922998</v>
      </c>
      <c r="IK50" s="1170">
        <f t="shared" si="17"/>
        <v>4.6947489966780926</v>
      </c>
      <c r="IL50" s="1138">
        <v>1132.38873770597</v>
      </c>
      <c r="IM50" s="1138">
        <v>2682.9215385872399</v>
      </c>
      <c r="IN50" s="1171">
        <f t="shared" si="18"/>
        <v>2.3692584085765369</v>
      </c>
      <c r="IP50" s="563" t="s">
        <v>572</v>
      </c>
      <c r="IQ50" s="172">
        <v>240.02755999999999</v>
      </c>
      <c r="IR50" s="704">
        <v>465.18887699999999</v>
      </c>
      <c r="IS50" s="704">
        <v>320.34366199999999</v>
      </c>
      <c r="IT50" s="704">
        <v>170.95208099999999</v>
      </c>
      <c r="IU50" s="704">
        <v>292.609509</v>
      </c>
      <c r="IV50" s="704">
        <v>4557.7981570000002</v>
      </c>
      <c r="IW50" s="703">
        <v>275.89585547045738</v>
      </c>
      <c r="IX50" s="704">
        <v>406.86355731430331</v>
      </c>
      <c r="IY50" s="704">
        <v>305.9742954654422</v>
      </c>
      <c r="IZ50" s="704">
        <v>203.12178274646797</v>
      </c>
      <c r="JA50" s="704">
        <v>394.12513583956002</v>
      </c>
      <c r="JB50" s="173">
        <v>5210.5891280873084</v>
      </c>
      <c r="JC50" s="1137">
        <v>258.33644165369299</v>
      </c>
      <c r="JD50" s="1138">
        <v>515.81415876859899</v>
      </c>
      <c r="JE50" s="1138">
        <v>381.50512059712003</v>
      </c>
      <c r="JF50" s="1138">
        <v>232.34818995577101</v>
      </c>
      <c r="JG50" s="1138">
        <v>325.12592169892702</v>
      </c>
      <c r="JH50" s="1139">
        <v>5354.15114657093</v>
      </c>
      <c r="JJ50" s="563" t="s">
        <v>572</v>
      </c>
      <c r="JK50" s="172">
        <v>652.27442599999995</v>
      </c>
      <c r="JL50" s="337">
        <v>797.903188</v>
      </c>
      <c r="JM50" s="337">
        <v>10.795779</v>
      </c>
      <c r="JN50" s="173">
        <v>28.148295999999998</v>
      </c>
      <c r="JO50" s="703">
        <v>803.67512880879667</v>
      </c>
      <c r="JP50" s="704">
        <v>722.14412640347871</v>
      </c>
      <c r="JQ50" s="704">
        <v>14.68467526611666</v>
      </c>
      <c r="JR50" s="173">
        <v>45.476696357838648</v>
      </c>
      <c r="JS50" s="1137">
        <v>732.16230933018198</v>
      </c>
      <c r="JT50" s="1138">
        <v>904.32699827483896</v>
      </c>
      <c r="JU50" s="1138">
        <v>55.363862220481998</v>
      </c>
      <c r="JV50" s="1139">
        <v>21.276662848607401</v>
      </c>
      <c r="JX50" s="563" t="s">
        <v>572</v>
      </c>
      <c r="JY50" s="703">
        <v>435.35886982371102</v>
      </c>
      <c r="JZ50" s="704">
        <v>511.010493117338</v>
      </c>
      <c r="KA50" s="704">
        <v>254.87074125058399</v>
      </c>
      <c r="KB50" s="173">
        <v>511.88972848247698</v>
      </c>
      <c r="KC50" s="603"/>
      <c r="KD50" s="563" t="s">
        <v>572</v>
      </c>
      <c r="KE50" s="703">
        <v>169.265434082464</v>
      </c>
      <c r="KF50" s="704">
        <v>142.19754479111899</v>
      </c>
      <c r="KG50" s="704">
        <v>168.68440197034499</v>
      </c>
      <c r="KH50" s="704">
        <v>187.719162979765</v>
      </c>
      <c r="KI50" s="704">
        <v>222.25858421487001</v>
      </c>
      <c r="KJ50" s="173">
        <v>242.26360966740299</v>
      </c>
      <c r="KK50" s="703">
        <v>184.16211679418399</v>
      </c>
      <c r="KL50" s="704">
        <v>78.442148087388901</v>
      </c>
      <c r="KM50" s="704">
        <v>153.20130473470101</v>
      </c>
      <c r="KN50" s="704">
        <v>77.364706644995707</v>
      </c>
      <c r="KO50" s="704">
        <v>37.998081904597399</v>
      </c>
      <c r="KP50" s="173">
        <v>30.078635437675398</v>
      </c>
      <c r="KQ50" s="703">
        <v>353.42755087664801</v>
      </c>
      <c r="KR50" s="704">
        <v>224.95823725653401</v>
      </c>
      <c r="KS50" s="704">
        <v>321.88570670504703</v>
      </c>
      <c r="KT50" s="704">
        <v>271.39522463148501</v>
      </c>
      <c r="KU50" s="704">
        <v>261.24157745056198</v>
      </c>
      <c r="KV50" s="173">
        <v>279.23662442274099</v>
      </c>
      <c r="KW50" s="429"/>
      <c r="KX50" s="563" t="s">
        <v>572</v>
      </c>
      <c r="KY50" s="172">
        <f t="shared" si="35"/>
        <v>361.64113499999985</v>
      </c>
      <c r="KZ50" s="337">
        <v>829.05372299999999</v>
      </c>
      <c r="LA50" s="173">
        <v>297.42683199999999</v>
      </c>
      <c r="LB50" s="172">
        <f t="shared" si="36"/>
        <v>314.35601736166927</v>
      </c>
      <c r="LC50" s="704">
        <v>945.63793415110081</v>
      </c>
      <c r="LD50" s="173">
        <v>323.98667688648584</v>
      </c>
      <c r="LE50" s="172">
        <f t="shared" si="37"/>
        <v>392.27051324491504</v>
      </c>
      <c r="LF50" s="1138">
        <v>1051.7044809316601</v>
      </c>
      <c r="LG50" s="1139">
        <v>267.154836466765</v>
      </c>
      <c r="LH50" s="426"/>
      <c r="LI50" s="563" t="s">
        <v>572</v>
      </c>
      <c r="LJ50" s="172">
        <v>1312.7215699999999</v>
      </c>
      <c r="LK50" s="337">
        <v>1166.7538099999999</v>
      </c>
      <c r="LL50" s="337">
        <v>145.967761</v>
      </c>
      <c r="LM50" s="337">
        <v>568.43468299999995</v>
      </c>
      <c r="LN50" s="337">
        <v>80.732585</v>
      </c>
      <c r="LO50" s="173">
        <v>75.458201000000003</v>
      </c>
      <c r="LP50" s="703">
        <v>1384.2805655056991</v>
      </c>
      <c r="LQ50" s="704">
        <v>1157.6106293011976</v>
      </c>
      <c r="LR50" s="704">
        <v>226.66993620450165</v>
      </c>
      <c r="LS50" s="704">
        <v>554.55111200616091</v>
      </c>
      <c r="LT50" s="704">
        <v>114.27501924151842</v>
      </c>
      <c r="LU50" s="173">
        <v>148.23573215874143</v>
      </c>
      <c r="LV50" s="1137">
        <v>1541.3854068313999</v>
      </c>
      <c r="LW50" s="1138">
        <v>1328.24747456617</v>
      </c>
      <c r="LX50" s="1138">
        <v>213.13793226523501</v>
      </c>
      <c r="LY50" s="1138">
        <v>477.83050135637399</v>
      </c>
      <c r="LZ50" s="1138">
        <v>93.313834691629694</v>
      </c>
      <c r="MA50" s="1139">
        <v>147.48666118839299</v>
      </c>
      <c r="MC50" s="563" t="s">
        <v>572</v>
      </c>
      <c r="MD50" s="172">
        <v>0</v>
      </c>
      <c r="ME50" s="337">
        <v>47.787478</v>
      </c>
      <c r="MF50" s="337">
        <v>318.05206099999998</v>
      </c>
      <c r="MG50" s="337">
        <v>401.027513</v>
      </c>
      <c r="MH50" s="337">
        <v>197.38916699999999</v>
      </c>
      <c r="MI50" s="173">
        <v>203.49759</v>
      </c>
      <c r="MJ50" s="703">
        <v>0</v>
      </c>
      <c r="MK50" s="704">
        <v>66.63205109482864</v>
      </c>
      <c r="ML50" s="704">
        <v>353.54737836850069</v>
      </c>
      <c r="MM50" s="704">
        <v>359.30832825652197</v>
      </c>
      <c r="MN50" s="704">
        <v>258.82148572043781</v>
      </c>
      <c r="MO50" s="173">
        <v>119.30138586090848</v>
      </c>
      <c r="MP50" s="1137">
        <v>0</v>
      </c>
      <c r="MQ50" s="1138">
        <v>86.825299214581705</v>
      </c>
      <c r="MR50" s="1138">
        <v>382.01650646515998</v>
      </c>
      <c r="MS50" s="1138">
        <v>412.323580890149</v>
      </c>
      <c r="MT50" s="1138">
        <v>281.14679371264998</v>
      </c>
      <c r="MU50" s="1139">
        <v>158.93528717593</v>
      </c>
      <c r="MW50" s="563" t="s">
        <v>572</v>
      </c>
      <c r="MX50" s="172">
        <v>1183.3316159999999</v>
      </c>
      <c r="MY50" s="337">
        <v>1053.2127640000001</v>
      </c>
      <c r="MZ50" s="337">
        <v>130.11885100000001</v>
      </c>
      <c r="NA50" s="703">
        <v>1175.2470109863614</v>
      </c>
      <c r="NB50" s="704">
        <v>997.37358126849597</v>
      </c>
      <c r="NC50" s="173">
        <v>177.87342971786552</v>
      </c>
      <c r="ND50" s="1137">
        <v>1348.24922956201</v>
      </c>
      <c r="NE50" s="1138">
        <v>1150.09865047575</v>
      </c>
      <c r="NF50" s="1139">
        <v>198.15057908625701</v>
      </c>
      <c r="NH50" s="563" t="s">
        <v>572</v>
      </c>
      <c r="NI50" s="703">
        <v>799.33308410391453</v>
      </c>
      <c r="NJ50" s="173">
        <v>198.04049716458132</v>
      </c>
      <c r="NK50" s="703">
        <v>105.36479980200821</v>
      </c>
      <c r="NL50" s="704">
        <v>72.508629915857327</v>
      </c>
      <c r="NM50" s="173">
        <v>0</v>
      </c>
      <c r="NN50" s="1137">
        <v>888.76599396824599</v>
      </c>
      <c r="NO50" s="1139">
        <v>261.33265650750559</v>
      </c>
      <c r="NP50" s="1137">
        <v>117.979775040677</v>
      </c>
      <c r="NQ50" s="1138">
        <v>76.8285761474433</v>
      </c>
      <c r="NR50" s="1139">
        <v>3.34222789813587</v>
      </c>
      <c r="NS50" s="136"/>
      <c r="NT50" s="563" t="s">
        <v>572</v>
      </c>
      <c r="NU50" s="703">
        <v>142.02899121563979</v>
      </c>
      <c r="NV50" s="704">
        <v>23.007195168146161</v>
      </c>
      <c r="NW50" s="704">
        <v>6.9971179571874096</v>
      </c>
      <c r="NX50" s="173">
        <v>26.007192823607966</v>
      </c>
      <c r="NY50" s="1137">
        <v>177.87307551715799</v>
      </c>
      <c r="NZ50" s="1138">
        <v>26.728641976096601</v>
      </c>
      <c r="OA50" s="1138">
        <v>3.0025149194526102</v>
      </c>
      <c r="OB50" s="1139">
        <v>53.728424094798399</v>
      </c>
      <c r="OC50" s="553"/>
      <c r="OD50" s="563" t="s">
        <v>572</v>
      </c>
      <c r="OE50" s="703">
        <v>53.582422041432402</v>
      </c>
      <c r="OF50" s="704">
        <v>104.129315729103</v>
      </c>
      <c r="OG50" s="704">
        <v>137.14588481904801</v>
      </c>
      <c r="OH50" s="704">
        <v>67.197700127905307</v>
      </c>
      <c r="OI50" s="704">
        <v>530.18492085907496</v>
      </c>
      <c r="OJ50" s="704">
        <v>44.490129746337701</v>
      </c>
      <c r="OK50" s="173">
        <v>20.430061335413399</v>
      </c>
      <c r="OL50" s="703">
        <v>79.212127128483999</v>
      </c>
      <c r="OM50" s="704">
        <v>111.781493154061</v>
      </c>
      <c r="ON50" s="704">
        <v>137.14588481904801</v>
      </c>
      <c r="OO50" s="704">
        <v>67.197700127905307</v>
      </c>
      <c r="OP50" s="704">
        <v>708.30249471938805</v>
      </c>
      <c r="OQ50" s="704">
        <v>357.35877515572798</v>
      </c>
      <c r="OR50" s="173">
        <v>1881.8544899224901</v>
      </c>
      <c r="OT50" s="563" t="s">
        <v>572</v>
      </c>
      <c r="OU50" s="172">
        <v>544.53988499999991</v>
      </c>
      <c r="OV50" s="337">
        <v>273.03603199999998</v>
      </c>
      <c r="OW50" s="337">
        <v>298.59697899999998</v>
      </c>
      <c r="OX50" s="173">
        <v>815.13638700000001</v>
      </c>
      <c r="OY50" s="703">
        <v>531.32644011467528</v>
      </c>
      <c r="OZ50" s="704">
        <v>318.10184380587441</v>
      </c>
      <c r="PA50" s="704">
        <v>329.84809302319832</v>
      </c>
      <c r="PB50" s="173">
        <v>944.05171249125158</v>
      </c>
      <c r="PC50" s="1137">
        <v>417.35804341242101</v>
      </c>
      <c r="PD50" s="1138">
        <v>348.18130762941598</v>
      </c>
      <c r="PE50" s="1138">
        <v>377.865535847697</v>
      </c>
      <c r="PF50" s="1139">
        <v>1209.0057609672449</v>
      </c>
      <c r="PH50" s="563" t="s">
        <v>572</v>
      </c>
      <c r="PI50" s="703">
        <v>164.3591878879395</v>
      </c>
      <c r="PJ50" s="704">
        <v>187.12718946862299</v>
      </c>
      <c r="PK50" s="704">
        <v>211.80031947610499</v>
      </c>
      <c r="PL50" s="173">
        <v>600.28600470147194</v>
      </c>
      <c r="PM50" s="703">
        <v>252.9988555244814</v>
      </c>
      <c r="PN50" s="704">
        <v>161.05411816079399</v>
      </c>
      <c r="PO50" s="704">
        <v>166.06521637159199</v>
      </c>
      <c r="PP50" s="173">
        <v>608.71975626577398</v>
      </c>
      <c r="PQ50" s="65"/>
      <c r="PR50" s="563" t="s">
        <v>572</v>
      </c>
      <c r="PS50" s="1038">
        <v>57.013377235030497</v>
      </c>
      <c r="PT50" s="1039">
        <v>97.827450043244994</v>
      </c>
      <c r="PU50" s="1039">
        <v>148.18790111155499</v>
      </c>
      <c r="PV50" s="1039">
        <v>23.23983406484</v>
      </c>
      <c r="PW50" s="1039">
        <v>761.59782986862103</v>
      </c>
      <c r="PX50" s="1040">
        <v>253.382830131021</v>
      </c>
      <c r="PZ50" s="563" t="s">
        <v>572</v>
      </c>
      <c r="QA50" s="1038">
        <v>776.26201632203095</v>
      </c>
      <c r="QB50" s="1039">
        <v>571.98721323997802</v>
      </c>
      <c r="QC50" s="1039">
        <v>411.71740097482302</v>
      </c>
      <c r="QD50" s="1039">
        <v>69.311377919466807</v>
      </c>
      <c r="QE50" s="1039">
        <v>84.291168251824502</v>
      </c>
      <c r="QF50" s="1040">
        <v>6.6672660938636001</v>
      </c>
    </row>
    <row r="51" spans="1:448" ht="13.5" customHeight="1">
      <c r="A51" s="593" t="s">
        <v>516</v>
      </c>
      <c r="B51" s="559" t="s">
        <v>573</v>
      </c>
      <c r="C51" s="1103">
        <v>1586.3188689999999</v>
      </c>
      <c r="D51" s="690">
        <v>1418.7071829939241</v>
      </c>
      <c r="E51" s="691">
        <v>1408.7750893738701</v>
      </c>
      <c r="F51" s="428"/>
      <c r="G51" s="563" t="s">
        <v>573</v>
      </c>
      <c r="H51" s="686">
        <f t="shared" si="5"/>
        <v>-2.2086468628411682E-2</v>
      </c>
      <c r="I51" s="668">
        <f t="shared" si="6"/>
        <v>-1.4040986339117767E-3</v>
      </c>
      <c r="J51" s="612"/>
      <c r="K51" s="63"/>
      <c r="L51" s="559" t="s">
        <v>573</v>
      </c>
      <c r="M51" s="636">
        <v>16</v>
      </c>
      <c r="N51" s="637">
        <v>11</v>
      </c>
      <c r="O51" s="637">
        <v>16</v>
      </c>
      <c r="P51" s="637">
        <v>14</v>
      </c>
      <c r="Q51" s="637">
        <v>13</v>
      </c>
      <c r="R51" s="637">
        <v>4</v>
      </c>
      <c r="S51" s="637">
        <v>11</v>
      </c>
      <c r="T51" s="637">
        <v>12</v>
      </c>
      <c r="U51" s="1138">
        <v>8</v>
      </c>
      <c r="V51" s="1138">
        <v>9</v>
      </c>
      <c r="W51" s="1139">
        <v>16</v>
      </c>
      <c r="X51" s="563" t="s">
        <v>573</v>
      </c>
      <c r="Y51" s="666">
        <v>13.5</v>
      </c>
      <c r="Z51" s="667">
        <v>15</v>
      </c>
      <c r="AA51" s="667">
        <v>8.5</v>
      </c>
      <c r="AB51" s="667">
        <v>11.5</v>
      </c>
      <c r="AC51" s="667">
        <v>11.5</v>
      </c>
      <c r="AD51" s="668">
        <v>0.1111111111111111</v>
      </c>
      <c r="AE51" s="668">
        <v>-0.43333333333333335</v>
      </c>
      <c r="AF51" s="668">
        <v>0.35294117647058826</v>
      </c>
      <c r="AG51" s="1213">
        <v>-0.43333333333333335</v>
      </c>
      <c r="AN51" s="563" t="s">
        <v>573</v>
      </c>
      <c r="AO51" s="636">
        <v>3.8074859999999999</v>
      </c>
      <c r="AP51" s="637">
        <v>34.106180999999999</v>
      </c>
      <c r="AQ51" s="637">
        <v>70.888223999999994</v>
      </c>
      <c r="AR51" s="637">
        <v>176.36215899999999</v>
      </c>
      <c r="AS51" s="637">
        <v>220.60706099999999</v>
      </c>
      <c r="AT51" s="637">
        <v>195.23825199999999</v>
      </c>
      <c r="AU51" s="637">
        <v>477.24078100000003</v>
      </c>
      <c r="AV51" s="173">
        <v>184.99552199999999</v>
      </c>
      <c r="AW51" s="636">
        <v>0</v>
      </c>
      <c r="AX51" s="637">
        <v>24.84152785337761</v>
      </c>
      <c r="AY51" s="637">
        <v>57.438504973811071</v>
      </c>
      <c r="AZ51" s="637">
        <v>174.6323484782165</v>
      </c>
      <c r="BA51" s="637">
        <v>212.45795707234839</v>
      </c>
      <c r="BB51" s="637">
        <v>180.74053617852459</v>
      </c>
      <c r="BC51" s="637">
        <v>449.90299433902101</v>
      </c>
      <c r="BD51" s="173">
        <v>150.15711392124649</v>
      </c>
      <c r="BE51" s="1137">
        <v>0</v>
      </c>
      <c r="BF51" s="1138">
        <v>31.874982947107998</v>
      </c>
      <c r="BG51" s="1138">
        <v>42.018532557217497</v>
      </c>
      <c r="BH51" s="1138">
        <v>166.61243834439401</v>
      </c>
      <c r="BI51" s="1138">
        <v>251.01960717870901</v>
      </c>
      <c r="BJ51" s="1138">
        <v>137.697520043938</v>
      </c>
      <c r="BK51" s="1138">
        <v>443.21056022446101</v>
      </c>
      <c r="BL51" s="1139">
        <v>147.705361887061</v>
      </c>
      <c r="BN51" s="563" t="s">
        <v>573</v>
      </c>
      <c r="BO51" s="647">
        <v>217.07321200000001</v>
      </c>
      <c r="BP51" s="648">
        <v>314.85262599999999</v>
      </c>
      <c r="BQ51" s="648">
        <v>293.72903300000002</v>
      </c>
      <c r="BR51" s="648">
        <v>272.78610400000002</v>
      </c>
      <c r="BS51" s="648">
        <v>278.67928999999998</v>
      </c>
      <c r="BT51" s="173">
        <v>209.19860399999999</v>
      </c>
      <c r="BU51" s="647">
        <v>166.53620174040361</v>
      </c>
      <c r="BV51" s="648">
        <v>300.80711227055463</v>
      </c>
      <c r="BW51" s="648">
        <v>230.75507750161628</v>
      </c>
      <c r="BX51" s="648">
        <v>257.17420467540791</v>
      </c>
      <c r="BY51" s="648">
        <v>180.49378062497621</v>
      </c>
      <c r="BZ51" s="173">
        <v>282.94080618096535</v>
      </c>
      <c r="CA51" s="1137">
        <v>184.63608212943899</v>
      </c>
      <c r="CB51" s="1138">
        <v>256.410634460876</v>
      </c>
      <c r="CC51" s="1138">
        <v>264.67434658703598</v>
      </c>
      <c r="CD51" s="1138">
        <v>229.249558640011</v>
      </c>
      <c r="CE51" s="1138">
        <v>186.57391403992699</v>
      </c>
      <c r="CF51" s="1139">
        <v>287.23055351657899</v>
      </c>
      <c r="CG51" s="429"/>
      <c r="CH51" s="563" t="s">
        <v>573</v>
      </c>
      <c r="CI51" s="172">
        <v>339.73454500000003</v>
      </c>
      <c r="CJ51" s="337">
        <v>809.37180799999999</v>
      </c>
      <c r="CK51" s="337">
        <v>437.21251599999999</v>
      </c>
      <c r="CL51" s="647">
        <v>249.52292201097512</v>
      </c>
      <c r="CM51" s="648">
        <v>746.6438012944875</v>
      </c>
      <c r="CN51" s="648">
        <v>422.5404596884614</v>
      </c>
      <c r="CO51" s="1137">
        <v>285.24110235555003</v>
      </c>
      <c r="CP51" s="1138">
        <v>706.65585791277499</v>
      </c>
      <c r="CQ51" s="1139">
        <v>416.87812910554197</v>
      </c>
      <c r="CR51" s="429"/>
      <c r="DB51" s="426"/>
      <c r="DC51" s="426"/>
      <c r="DD51" s="426"/>
      <c r="DE51" s="426"/>
      <c r="DG51" s="563" t="s">
        <v>573</v>
      </c>
      <c r="DH51" s="1147" t="s">
        <v>763</v>
      </c>
      <c r="DI51" s="1150" t="s">
        <v>746</v>
      </c>
      <c r="DJ51" s="704" t="s">
        <v>959</v>
      </c>
      <c r="DK51" s="704" t="s">
        <v>960</v>
      </c>
      <c r="DL51" s="337" t="s">
        <v>961</v>
      </c>
      <c r="DM51" s="174" t="s">
        <v>962</v>
      </c>
      <c r="DO51" s="559" t="s">
        <v>573</v>
      </c>
      <c r="DP51" s="704">
        <v>717.750541</v>
      </c>
      <c r="DQ51" s="337">
        <v>701.89273174038749</v>
      </c>
      <c r="DR51" s="1139">
        <v>687.27333542595102</v>
      </c>
      <c r="DS51" s="63"/>
      <c r="DT51" s="563" t="s">
        <v>573</v>
      </c>
      <c r="DU51" s="172">
        <v>1452.319033</v>
      </c>
      <c r="DV51" s="337">
        <v>1320.7072595821717</v>
      </c>
      <c r="DW51" s="1139">
        <v>1337.7750172815299</v>
      </c>
      <c r="DX51" s="63"/>
      <c r="DY51" s="563" t="s">
        <v>573</v>
      </c>
      <c r="DZ51" s="1089">
        <f t="shared" si="32"/>
        <v>2.0234314710185637</v>
      </c>
      <c r="EA51" s="787">
        <f t="shared" si="33"/>
        <v>1.88163689387037</v>
      </c>
      <c r="EB51" s="776">
        <f t="shared" si="34"/>
        <v>1.9464963186043263</v>
      </c>
      <c r="ED51" s="541"/>
      <c r="EE51" s="563" t="s">
        <v>573</v>
      </c>
      <c r="EF51" s="735">
        <v>285.27134899999999</v>
      </c>
      <c r="EG51" s="736">
        <v>11.29758</v>
      </c>
      <c r="EH51" s="736">
        <v>224.92349100000001</v>
      </c>
      <c r="EI51" s="736">
        <v>149.002377</v>
      </c>
      <c r="EJ51" s="736">
        <v>47.255744</v>
      </c>
      <c r="EK51" s="703">
        <v>317.43109591822383</v>
      </c>
      <c r="EL51" s="704">
        <v>27.142215565240971</v>
      </c>
      <c r="EM51" s="704">
        <v>187.444244269412</v>
      </c>
      <c r="EN51" s="704">
        <v>112.25917618597332</v>
      </c>
      <c r="EO51" s="704">
        <v>57.615999801537271</v>
      </c>
      <c r="EP51" s="1137">
        <v>296.42141168680098</v>
      </c>
      <c r="EQ51" s="1138">
        <v>13.0666011182067</v>
      </c>
      <c r="ER51" s="1138">
        <v>169.14567961125201</v>
      </c>
      <c r="ES51" s="1138">
        <v>146.205060161517</v>
      </c>
      <c r="ET51" s="1139">
        <v>62.434582848174202</v>
      </c>
      <c r="EV51" s="563" t="s">
        <v>573</v>
      </c>
      <c r="EW51" s="703">
        <v>3.826495</v>
      </c>
      <c r="EX51" s="704">
        <v>79.396393000000003</v>
      </c>
      <c r="EY51" s="704">
        <v>162.922515</v>
      </c>
      <c r="EZ51" s="704">
        <v>40.125945000000002</v>
      </c>
      <c r="FA51" s="703">
        <v>141.21549400000001</v>
      </c>
      <c r="FB51" s="704">
        <v>505.899991</v>
      </c>
      <c r="FC51" s="704">
        <v>507.27538299999998</v>
      </c>
      <c r="FD51" s="704">
        <v>83.854949000000005</v>
      </c>
      <c r="FE51" s="703">
        <v>3.4549730093867099</v>
      </c>
      <c r="FF51" s="704">
        <v>108.52675222281491</v>
      </c>
      <c r="FG51" s="704">
        <v>140.63224248211722</v>
      </c>
      <c r="FH51" s="173">
        <v>64.817128203905</v>
      </c>
      <c r="FI51" s="703">
        <v>158.21724726863613</v>
      </c>
      <c r="FJ51" s="704">
        <v>458.45197176598623</v>
      </c>
      <c r="FK51" s="746">
        <v>379.11638860938967</v>
      </c>
      <c r="FL51" s="747">
        <v>160.38544863473052</v>
      </c>
      <c r="FM51" s="1137">
        <v>10.307016960736201</v>
      </c>
      <c r="FN51" s="1138">
        <v>74.658769695430806</v>
      </c>
      <c r="FO51" s="1138">
        <v>138.052584447523</v>
      </c>
      <c r="FP51" s="1139">
        <v>74.4030415984966</v>
      </c>
      <c r="FQ51" s="1137">
        <v>150.121453724818</v>
      </c>
      <c r="FR51" s="1138">
        <v>448.49541891981403</v>
      </c>
      <c r="FS51" s="1138">
        <v>376.87380558773299</v>
      </c>
      <c r="FT51" s="1139">
        <v>181.64826098126699</v>
      </c>
      <c r="FV51" s="559" t="s">
        <v>573</v>
      </c>
      <c r="FW51" s="337">
        <v>239.64151200000001</v>
      </c>
      <c r="FX51" s="337">
        <v>97.411724000000007</v>
      </c>
      <c r="FY51" s="337">
        <v>47.642789999999998</v>
      </c>
      <c r="FZ51" s="173">
        <v>36.485585999999998</v>
      </c>
      <c r="GA51" s="703">
        <v>197.40440438657089</v>
      </c>
      <c r="GB51" s="704">
        <v>64.769824146376394</v>
      </c>
      <c r="GC51" s="704">
        <v>81.54896673729202</v>
      </c>
      <c r="GD51" s="173">
        <v>13.596224986683319</v>
      </c>
      <c r="GE51" s="1137">
        <v>179.42943349845899</v>
      </c>
      <c r="GF51" s="1138">
        <v>105.315529317375</v>
      </c>
      <c r="GG51" s="1138">
        <v>86.153397078963195</v>
      </c>
      <c r="GH51" s="1139">
        <v>6.8869627261456703</v>
      </c>
      <c r="GJ51" s="563" t="s">
        <v>573</v>
      </c>
      <c r="GK51" s="703">
        <v>741.49912200000006</v>
      </c>
      <c r="GL51" s="704">
        <v>737.99945067995304</v>
      </c>
      <c r="GM51" s="1139">
        <v>745.00069886172503</v>
      </c>
      <c r="GO51" s="563" t="s">
        <v>573</v>
      </c>
      <c r="GP51" s="703">
        <v>719.750539</v>
      </c>
      <c r="GQ51" s="704">
        <v>3.617842</v>
      </c>
      <c r="GR51" s="173">
        <v>18.130741</v>
      </c>
      <c r="GS51" s="703">
        <v>702.89273095887472</v>
      </c>
      <c r="GT51" s="704">
        <v>10.138329549933161</v>
      </c>
      <c r="GU51" s="173">
        <v>24.968390171145138</v>
      </c>
      <c r="GV51" s="1137">
        <v>688.27333644133603</v>
      </c>
      <c r="GW51" s="1138">
        <v>8.8170227784164705</v>
      </c>
      <c r="GX51" s="1139">
        <v>47.9103396419723</v>
      </c>
      <c r="GZ51" s="563" t="s">
        <v>573</v>
      </c>
      <c r="HA51" s="703">
        <v>381.28466700000001</v>
      </c>
      <c r="HB51" s="704">
        <v>356.40696800000001</v>
      </c>
      <c r="HC51" s="173">
        <f t="shared" si="7"/>
        <v>3.8074870000000374</v>
      </c>
      <c r="HD51" s="703">
        <v>372.89947030943472</v>
      </c>
      <c r="HE51" s="704">
        <v>365.09998037051832</v>
      </c>
      <c r="HF51" s="173">
        <f t="shared" si="8"/>
        <v>0</v>
      </c>
      <c r="HG51" s="583">
        <v>364.49177348753602</v>
      </c>
      <c r="HH51" s="1138">
        <v>380.508925374189</v>
      </c>
      <c r="HI51" s="173">
        <f t="shared" si="9"/>
        <v>0</v>
      </c>
      <c r="HK51" s="563" t="s">
        <v>573</v>
      </c>
      <c r="HL51" s="704">
        <v>719.750539</v>
      </c>
      <c r="HM51" s="704">
        <v>2906.342306</v>
      </c>
      <c r="HN51" s="776">
        <f t="shared" si="10"/>
        <v>4.0379855915606342</v>
      </c>
      <c r="HO51" s="703">
        <v>702.89273095887472</v>
      </c>
      <c r="HP51" s="704">
        <v>2744.0019841807098</v>
      </c>
      <c r="HQ51" s="776">
        <f t="shared" si="11"/>
        <v>3.9038701971457113</v>
      </c>
      <c r="HR51" s="1138">
        <v>688.27333644133603</v>
      </c>
      <c r="HS51" s="1138">
        <v>2733.5352874119399</v>
      </c>
      <c r="HT51" s="784">
        <f t="shared" si="12"/>
        <v>3.9715838790813431</v>
      </c>
      <c r="HV51" s="563" t="s">
        <v>573</v>
      </c>
      <c r="HW51" s="172">
        <v>377.47717599999999</v>
      </c>
      <c r="HX51" s="337">
        <v>1662.274887</v>
      </c>
      <c r="HY51" s="787">
        <f t="shared" si="13"/>
        <v>4.4036434324707363</v>
      </c>
      <c r="HZ51" s="704">
        <v>338.46587599999998</v>
      </c>
      <c r="IA51" s="704">
        <v>1232.6449600000001</v>
      </c>
      <c r="IB51" s="787">
        <f t="shared" si="14"/>
        <v>3.6418588915592784</v>
      </c>
      <c r="IC51" s="703">
        <v>354.9131172470573</v>
      </c>
      <c r="ID51" s="704">
        <v>1525.7807081642468</v>
      </c>
      <c r="IE51" s="787">
        <f t="shared" si="15"/>
        <v>4.2990259700718276</v>
      </c>
      <c r="IF51" s="704">
        <v>347.97961371181742</v>
      </c>
      <c r="IG51" s="704">
        <v>1218.2212760164632</v>
      </c>
      <c r="IH51" s="776">
        <f t="shared" si="16"/>
        <v>3.5008409343926239</v>
      </c>
      <c r="II51" s="1137">
        <v>338.487527528084</v>
      </c>
      <c r="IJ51" s="1138">
        <v>1489.9631177870101</v>
      </c>
      <c r="IK51" s="1170">
        <f t="shared" si="17"/>
        <v>4.4018257590403804</v>
      </c>
      <c r="IL51" s="1138">
        <v>349.78580891325203</v>
      </c>
      <c r="IM51" s="1138">
        <v>1243.57216962493</v>
      </c>
      <c r="IN51" s="1171">
        <f t="shared" si="18"/>
        <v>3.5552390575494726</v>
      </c>
      <c r="IP51" s="563" t="s">
        <v>573</v>
      </c>
      <c r="IQ51" s="172">
        <v>7.6607339999999997</v>
      </c>
      <c r="IR51" s="704">
        <v>40.027816999999999</v>
      </c>
      <c r="IS51" s="704">
        <v>162.09915000000001</v>
      </c>
      <c r="IT51" s="704">
        <v>295.91658999999999</v>
      </c>
      <c r="IU51" s="704">
        <v>214.04624799999999</v>
      </c>
      <c r="IV51" s="704">
        <v>2906.342306</v>
      </c>
      <c r="IW51" s="703">
        <v>6.6401067447725799</v>
      </c>
      <c r="IX51" s="704">
        <v>54.871551642472781</v>
      </c>
      <c r="IY51" s="704">
        <v>149.53276837995745</v>
      </c>
      <c r="IZ51" s="704">
        <v>327.99108730321103</v>
      </c>
      <c r="JA51" s="704">
        <v>163.8572168884609</v>
      </c>
      <c r="JB51" s="173">
        <v>2744.0019841807098</v>
      </c>
      <c r="JC51" s="1137">
        <v>6.8956604356826503</v>
      </c>
      <c r="JD51" s="1138">
        <v>50.634671460421501</v>
      </c>
      <c r="JE51" s="1138">
        <v>185.785789507467</v>
      </c>
      <c r="JF51" s="1138">
        <v>253.27222957422799</v>
      </c>
      <c r="JG51" s="1138">
        <v>191.684985463537</v>
      </c>
      <c r="JH51" s="1139">
        <v>2733.5352874119399</v>
      </c>
      <c r="JJ51" s="563" t="s">
        <v>573</v>
      </c>
      <c r="JK51" s="172">
        <v>501.026478</v>
      </c>
      <c r="JL51" s="337">
        <v>99.151319000000001</v>
      </c>
      <c r="JM51" s="337">
        <v>106.458271</v>
      </c>
      <c r="JN51" s="173">
        <v>13.114471</v>
      </c>
      <c r="JO51" s="703">
        <v>526.58133770234872</v>
      </c>
      <c r="JP51" s="704">
        <v>69.335648654779462</v>
      </c>
      <c r="JQ51" s="704">
        <v>96.743946694380995</v>
      </c>
      <c r="JR51" s="173">
        <v>10.231797907365481</v>
      </c>
      <c r="JS51" s="1137">
        <v>474.23276564221402</v>
      </c>
      <c r="JT51" s="1138">
        <v>81.431119489110017</v>
      </c>
      <c r="JU51" s="1138">
        <v>132.60945131001199</v>
      </c>
      <c r="JV51" s="1139">
        <v>0</v>
      </c>
      <c r="JX51" s="563" t="s">
        <v>573</v>
      </c>
      <c r="JY51" s="703">
        <v>62.901817188206202</v>
      </c>
      <c r="JZ51" s="704">
        <v>94.313756573574395</v>
      </c>
      <c r="KA51" s="704">
        <v>121.985881605912</v>
      </c>
      <c r="KB51" s="173">
        <v>409.071881073643</v>
      </c>
      <c r="KC51" s="603"/>
      <c r="KD51" s="563" t="s">
        <v>573</v>
      </c>
      <c r="KE51" s="703">
        <v>0</v>
      </c>
      <c r="KF51" s="704">
        <v>3.3967911610614698</v>
      </c>
      <c r="KG51" s="704">
        <v>181.85832011469199</v>
      </c>
      <c r="KH51" s="704">
        <v>161.14847184042901</v>
      </c>
      <c r="KI51" s="704">
        <v>3.3822257970693799</v>
      </c>
      <c r="KJ51" s="173">
        <v>0</v>
      </c>
      <c r="KK51" s="703">
        <v>0</v>
      </c>
      <c r="KL51" s="704">
        <v>0</v>
      </c>
      <c r="KM51" s="704">
        <v>239.70428091439899</v>
      </c>
      <c r="KN51" s="704">
        <v>80.949783616553503</v>
      </c>
      <c r="KO51" s="704">
        <v>10.5403039158398</v>
      </c>
      <c r="KP51" s="173">
        <v>6.2964608867395899</v>
      </c>
      <c r="KQ51" s="703">
        <v>0</v>
      </c>
      <c r="KR51" s="704">
        <v>3.3967911610614698</v>
      </c>
      <c r="KS51" s="704">
        <v>421.56260102909101</v>
      </c>
      <c r="KT51" s="704">
        <v>242.098255456982</v>
      </c>
      <c r="KU51" s="704">
        <v>13.922529712909199</v>
      </c>
      <c r="KV51" s="173">
        <v>6.2964608867395899</v>
      </c>
      <c r="KW51" s="429"/>
      <c r="KX51" s="563" t="s">
        <v>573</v>
      </c>
      <c r="KY51" s="172">
        <f t="shared" si="35"/>
        <v>122.23168799999996</v>
      </c>
      <c r="KZ51" s="337">
        <v>403.48979800000001</v>
      </c>
      <c r="LA51" s="173">
        <v>192.029055</v>
      </c>
      <c r="LB51" s="172">
        <f t="shared" si="36"/>
        <v>135.05191921839969</v>
      </c>
      <c r="LC51" s="704">
        <v>413.53408632176098</v>
      </c>
      <c r="LD51" s="173">
        <v>153.30672620022688</v>
      </c>
      <c r="LE51" s="172">
        <f t="shared" si="37"/>
        <v>102.79881677356798</v>
      </c>
      <c r="LF51" s="1138">
        <v>423.31526891363399</v>
      </c>
      <c r="LG51" s="1139">
        <v>161.159249738749</v>
      </c>
      <c r="LH51" s="426"/>
      <c r="LI51" s="563" t="s">
        <v>573</v>
      </c>
      <c r="LJ51" s="172">
        <v>686.97746299999994</v>
      </c>
      <c r="LK51" s="337">
        <v>622.90935999999999</v>
      </c>
      <c r="LL51" s="337">
        <v>64.068104000000005</v>
      </c>
      <c r="LM51" s="337">
        <v>143.65669</v>
      </c>
      <c r="LN51" s="337">
        <v>61.556902999999998</v>
      </c>
      <c r="LO51" s="173">
        <v>39.842084999999997</v>
      </c>
      <c r="LP51" s="703">
        <v>652.76197273391244</v>
      </c>
      <c r="LQ51" s="704">
        <v>576.88939970119668</v>
      </c>
      <c r="LR51" s="704">
        <v>75.872573032715735</v>
      </c>
      <c r="LS51" s="704">
        <v>95.757200324050416</v>
      </c>
      <c r="LT51" s="704">
        <v>40.849753410548658</v>
      </c>
      <c r="LU51" s="173">
        <v>40.261595096547524</v>
      </c>
      <c r="LV51" s="1137">
        <v>621.95837805677104</v>
      </c>
      <c r="LW51" s="1138">
        <v>525.73764552464002</v>
      </c>
      <c r="LX51" s="1138">
        <v>96.220732532131706</v>
      </c>
      <c r="LY51" s="1138">
        <v>89.549785200280795</v>
      </c>
      <c r="LZ51" s="1138">
        <v>48.884902794360201</v>
      </c>
      <c r="MA51" s="1139">
        <v>46.867812087473702</v>
      </c>
      <c r="MC51" s="563" t="s">
        <v>573</v>
      </c>
      <c r="MD51" s="172">
        <v>3.8074859999999999</v>
      </c>
      <c r="ME51" s="337">
        <v>30.488343</v>
      </c>
      <c r="MF51" s="337">
        <v>62.888233</v>
      </c>
      <c r="MG51" s="337">
        <v>165.29998800000001</v>
      </c>
      <c r="MH51" s="337">
        <v>187.56581299999999</v>
      </c>
      <c r="MI51" s="173">
        <v>172.859497</v>
      </c>
      <c r="MJ51" s="703">
        <v>0</v>
      </c>
      <c r="MK51" s="704">
        <v>24.84152785337761</v>
      </c>
      <c r="ML51" s="704">
        <v>54.046365967981338</v>
      </c>
      <c r="MM51" s="704">
        <v>146.28069549287878</v>
      </c>
      <c r="MN51" s="704">
        <v>187.57860555863152</v>
      </c>
      <c r="MO51" s="173">
        <v>150.14221576950564</v>
      </c>
      <c r="MP51" s="1137">
        <v>0</v>
      </c>
      <c r="MQ51" s="1138">
        <v>23.4927520731135</v>
      </c>
      <c r="MR51" s="1138">
        <v>42.018532557217497</v>
      </c>
      <c r="MS51" s="1138">
        <v>141.98896394122599</v>
      </c>
      <c r="MT51" s="1138">
        <v>216.473552469731</v>
      </c>
      <c r="MU51" s="1139">
        <v>97.763840421811295</v>
      </c>
      <c r="MW51" s="563" t="s">
        <v>573</v>
      </c>
      <c r="MX51" s="172">
        <v>637.38071100000002</v>
      </c>
      <c r="MY51" s="337">
        <v>581.98443599999996</v>
      </c>
      <c r="MZ51" s="337">
        <v>55.396275000000003</v>
      </c>
      <c r="NA51" s="703">
        <v>580.28153870702647</v>
      </c>
      <c r="NB51" s="704">
        <v>535.35998940641582</v>
      </c>
      <c r="NC51" s="173">
        <v>44.9215493006106</v>
      </c>
      <c r="ND51" s="1137">
        <v>535.88432291584797</v>
      </c>
      <c r="NE51" s="1138">
        <v>502.66285037548403</v>
      </c>
      <c r="NF51" s="1139">
        <v>33.2214725403636</v>
      </c>
      <c r="NH51" s="563" t="s">
        <v>573</v>
      </c>
      <c r="NI51" s="703">
        <v>418.90967278448591</v>
      </c>
      <c r="NJ51" s="173">
        <v>116.45031662192989</v>
      </c>
      <c r="NK51" s="703">
        <v>37.270153727662773</v>
      </c>
      <c r="NL51" s="704">
        <v>7.6513955729478296</v>
      </c>
      <c r="NM51" s="173">
        <v>0</v>
      </c>
      <c r="NN51" s="1137">
        <v>441.63301457911899</v>
      </c>
      <c r="NO51" s="1139">
        <v>61.029835796365141</v>
      </c>
      <c r="NP51" s="1137">
        <v>22.1539564485896</v>
      </c>
      <c r="NQ51" s="1138">
        <v>7.6852902947045401</v>
      </c>
      <c r="NR51" s="1139">
        <v>3.3822257970693799</v>
      </c>
      <c r="NS51" s="136"/>
      <c r="NT51" s="563" t="s">
        <v>573</v>
      </c>
      <c r="NU51" s="703">
        <v>67.464907988421288</v>
      </c>
      <c r="NV51" s="704">
        <v>0</v>
      </c>
      <c r="NW51" s="704">
        <v>0</v>
      </c>
      <c r="NX51" s="173">
        <v>48.985408633508598</v>
      </c>
      <c r="NY51" s="1137">
        <v>27.458077447792899</v>
      </c>
      <c r="NZ51" s="1138">
        <v>7.7790179735158604</v>
      </c>
      <c r="OA51" s="1138">
        <v>3.3822257970693799</v>
      </c>
      <c r="OB51" s="1139">
        <v>22.410514577987001</v>
      </c>
      <c r="OC51" s="553"/>
      <c r="OD51" s="563" t="s">
        <v>573</v>
      </c>
      <c r="OE51" s="703">
        <v>20.793363108493701</v>
      </c>
      <c r="OF51" s="704">
        <v>81.776774601231907</v>
      </c>
      <c r="OG51" s="704">
        <v>35.218450344332801</v>
      </c>
      <c r="OH51" s="704">
        <v>46.583889246978103</v>
      </c>
      <c r="OI51" s="704">
        <v>63.273857621208997</v>
      </c>
      <c r="OJ51" s="704">
        <v>4.3735291029174199</v>
      </c>
      <c r="OK51" s="173">
        <v>0</v>
      </c>
      <c r="OL51" s="703">
        <v>39.290684768021599</v>
      </c>
      <c r="OM51" s="704">
        <v>81.776774601231907</v>
      </c>
      <c r="ON51" s="704">
        <v>36.218451359717797</v>
      </c>
      <c r="OO51" s="704">
        <v>49.980680408039497</v>
      </c>
      <c r="OP51" s="704">
        <v>137.14081088602401</v>
      </c>
      <c r="OQ51" s="704">
        <v>69.289143166811996</v>
      </c>
      <c r="OR51" s="173">
        <v>967.72837278355303</v>
      </c>
      <c r="OT51" s="563" t="s">
        <v>573</v>
      </c>
      <c r="OU51" s="172">
        <v>463.36278599999997</v>
      </c>
      <c r="OV51" s="337">
        <v>342.50197300000002</v>
      </c>
      <c r="OW51" s="337">
        <v>132.884027</v>
      </c>
      <c r="OX51" s="173">
        <v>204.85519199999999</v>
      </c>
      <c r="OY51" s="703">
        <v>387.47628901806019</v>
      </c>
      <c r="OZ51" s="704">
        <v>331.388887815359</v>
      </c>
      <c r="PA51" s="704">
        <v>158.97149253479591</v>
      </c>
      <c r="PB51" s="173">
        <v>208.32528895940709</v>
      </c>
      <c r="PC51" s="1137">
        <v>394.35298707302513</v>
      </c>
      <c r="PD51" s="1138">
        <v>282.998839894632</v>
      </c>
      <c r="PE51" s="1138">
        <v>196.208476237756</v>
      </c>
      <c r="PF51" s="1139">
        <v>236.34742806791041</v>
      </c>
      <c r="PH51" s="563" t="s">
        <v>573</v>
      </c>
      <c r="PI51" s="703">
        <v>152.8607768588181</v>
      </c>
      <c r="PJ51" s="704">
        <v>168.957176252289</v>
      </c>
      <c r="PK51" s="704">
        <v>85.921812407250101</v>
      </c>
      <c r="PL51" s="173">
        <v>99.682939418125997</v>
      </c>
      <c r="PM51" s="703">
        <v>241.49221021420811</v>
      </c>
      <c r="PN51" s="704">
        <v>114.041663642343</v>
      </c>
      <c r="PO51" s="704">
        <v>110.286663830506</v>
      </c>
      <c r="PP51" s="173">
        <v>136.66448864978412</v>
      </c>
      <c r="PQ51" s="65"/>
      <c r="PR51" s="563" t="s">
        <v>573</v>
      </c>
      <c r="PS51" s="1038">
        <v>20.143683196001099</v>
      </c>
      <c r="PT51" s="1039">
        <v>23.709881781382599</v>
      </c>
      <c r="PU51" s="1039">
        <v>13.3808507589297</v>
      </c>
      <c r="PV51" s="1039">
        <v>0</v>
      </c>
      <c r="PW51" s="1039">
        <v>359.222587074366</v>
      </c>
      <c r="PX51" s="1040">
        <v>115.427316043628</v>
      </c>
      <c r="PZ51" s="563" t="s">
        <v>573</v>
      </c>
      <c r="QA51" s="1038">
        <v>340.671687260873</v>
      </c>
      <c r="QB51" s="1039">
        <v>195.212635654975</v>
      </c>
      <c r="QC51" s="1039">
        <v>148.12476616187001</v>
      </c>
      <c r="QD51" s="1039">
        <v>10.965151400796699</v>
      </c>
      <c r="QE51" s="1039">
        <v>36.122718092308403</v>
      </c>
      <c r="QF51" s="1040">
        <v>0</v>
      </c>
    </row>
    <row r="52" spans="1:448" ht="13.5" customHeight="1">
      <c r="A52" s="593" t="s">
        <v>517</v>
      </c>
      <c r="B52" s="559" t="s">
        <v>574</v>
      </c>
      <c r="C52" s="1103">
        <v>1340.9233340000001</v>
      </c>
      <c r="D52" s="690">
        <v>1248.4377075092311</v>
      </c>
      <c r="E52" s="691">
        <v>1342.1680087622401</v>
      </c>
      <c r="F52" s="428"/>
      <c r="G52" s="563" t="s">
        <v>574</v>
      </c>
      <c r="H52" s="686">
        <f t="shared" si="5"/>
        <v>-1.4191437839336296E-2</v>
      </c>
      <c r="I52" s="668">
        <f t="shared" si="6"/>
        <v>1.4583981043726935E-2</v>
      </c>
      <c r="J52" s="612"/>
      <c r="K52" s="63"/>
      <c r="L52" s="559" t="s">
        <v>574</v>
      </c>
      <c r="M52" s="636">
        <v>24</v>
      </c>
      <c r="N52" s="637">
        <v>17</v>
      </c>
      <c r="O52" s="637">
        <v>14</v>
      </c>
      <c r="P52" s="637">
        <v>24</v>
      </c>
      <c r="Q52" s="637">
        <v>13</v>
      </c>
      <c r="R52" s="637">
        <v>16</v>
      </c>
      <c r="S52" s="637">
        <v>16</v>
      </c>
      <c r="T52" s="637">
        <v>18</v>
      </c>
      <c r="U52" s="1138">
        <v>11</v>
      </c>
      <c r="V52" s="1138">
        <v>16</v>
      </c>
      <c r="W52" s="1139">
        <v>18</v>
      </c>
      <c r="X52" s="563" t="s">
        <v>574</v>
      </c>
      <c r="Y52" s="666">
        <v>20.5</v>
      </c>
      <c r="Z52" s="667">
        <v>19</v>
      </c>
      <c r="AA52" s="667">
        <v>14.5</v>
      </c>
      <c r="AB52" s="667">
        <v>17</v>
      </c>
      <c r="AC52" s="667">
        <v>17</v>
      </c>
      <c r="AD52" s="668">
        <v>-7.3170731707317069E-2</v>
      </c>
      <c r="AE52" s="668">
        <v>-0.23684210526315788</v>
      </c>
      <c r="AF52" s="668">
        <v>0.17241379310344829</v>
      </c>
      <c r="AG52" s="1213">
        <v>-0.23684210526315788</v>
      </c>
      <c r="AN52" s="563" t="s">
        <v>574</v>
      </c>
      <c r="AO52" s="636">
        <v>0</v>
      </c>
      <c r="AP52" s="637">
        <v>3.3201450000000001</v>
      </c>
      <c r="AQ52" s="637">
        <v>28.788609999999998</v>
      </c>
      <c r="AR52" s="637">
        <v>142.492063</v>
      </c>
      <c r="AS52" s="637">
        <v>265.880608</v>
      </c>
      <c r="AT52" s="637">
        <v>182.352856</v>
      </c>
      <c r="AU52" s="637">
        <v>429.93088499999999</v>
      </c>
      <c r="AV52" s="173">
        <v>92.514938000000001</v>
      </c>
      <c r="AW52" s="636">
        <v>0</v>
      </c>
      <c r="AX52" s="637">
        <v>21.060206851084001</v>
      </c>
      <c r="AY52" s="637">
        <v>43.541858182573982</v>
      </c>
      <c r="AZ52" s="637">
        <v>120.50583937133391</v>
      </c>
      <c r="BA52" s="637">
        <v>284.37597983888702</v>
      </c>
      <c r="BB52" s="637">
        <v>161.9071204371939</v>
      </c>
      <c r="BC52" s="637">
        <v>373.0298969572587</v>
      </c>
      <c r="BD52" s="173">
        <v>89.197106629833186</v>
      </c>
      <c r="BE52" s="1137">
        <v>0</v>
      </c>
      <c r="BF52" s="1138">
        <v>17.395145732564899</v>
      </c>
      <c r="BG52" s="1138">
        <v>48.945784339746702</v>
      </c>
      <c r="BH52" s="1138">
        <v>182.08295027269401</v>
      </c>
      <c r="BI52" s="1138">
        <v>261.92050182788898</v>
      </c>
      <c r="BJ52" s="1138">
        <v>146.67603649849201</v>
      </c>
      <c r="BK52" s="1138">
        <v>345.02562175584802</v>
      </c>
      <c r="BL52" s="1139">
        <v>126.473389580511</v>
      </c>
      <c r="BN52" s="563" t="s">
        <v>574</v>
      </c>
      <c r="BO52" s="647">
        <v>195.64323099999999</v>
      </c>
      <c r="BP52" s="648">
        <v>192.23078799999999</v>
      </c>
      <c r="BQ52" s="648">
        <v>296.692384</v>
      </c>
      <c r="BR52" s="648">
        <v>229.518947</v>
      </c>
      <c r="BS52" s="648">
        <v>253.644352</v>
      </c>
      <c r="BT52" s="173">
        <v>173.19363200000001</v>
      </c>
      <c r="BU52" s="647">
        <v>154.81969924106642</v>
      </c>
      <c r="BV52" s="648">
        <v>272.76148599953194</v>
      </c>
      <c r="BW52" s="648">
        <v>245.91914231092235</v>
      </c>
      <c r="BX52" s="648">
        <v>179.50295828784127</v>
      </c>
      <c r="BY52" s="648">
        <v>217.88659477676225</v>
      </c>
      <c r="BZ52" s="173">
        <v>177.54782689310684</v>
      </c>
      <c r="CA52" s="1137">
        <v>213.64857875449499</v>
      </c>
      <c r="CB52" s="1138">
        <v>208.757199009582</v>
      </c>
      <c r="CC52" s="1138">
        <v>279.10963242567101</v>
      </c>
      <c r="CD52" s="1138">
        <v>243.43121102371299</v>
      </c>
      <c r="CE52" s="1138">
        <v>210.832181076713</v>
      </c>
      <c r="CF52" s="1139">
        <v>186.389206472067</v>
      </c>
      <c r="CG52" s="429"/>
      <c r="CH52" s="563" t="s">
        <v>574</v>
      </c>
      <c r="CI52" s="172">
        <v>266.49314600000002</v>
      </c>
      <c r="CJ52" s="337">
        <v>701.61496999999997</v>
      </c>
      <c r="CK52" s="337">
        <v>372.81521800000002</v>
      </c>
      <c r="CL52" s="647">
        <v>222.78798978935555</v>
      </c>
      <c r="CM52" s="648">
        <v>695.13769376814844</v>
      </c>
      <c r="CN52" s="648">
        <v>330.51202395172709</v>
      </c>
      <c r="CO52" s="1137">
        <v>273.71065624614499</v>
      </c>
      <c r="CP52" s="1138">
        <v>764.44749178232496</v>
      </c>
      <c r="CQ52" s="1139">
        <v>304.00986073377101</v>
      </c>
      <c r="CR52" s="429"/>
      <c r="DB52" s="426"/>
      <c r="DC52" s="426"/>
      <c r="DD52" s="426"/>
      <c r="DE52" s="426"/>
      <c r="DG52" s="563" t="s">
        <v>574</v>
      </c>
      <c r="DH52" s="1147" t="s">
        <v>764</v>
      </c>
      <c r="DI52" s="1150" t="s">
        <v>746</v>
      </c>
      <c r="DJ52" s="704" t="s">
        <v>932</v>
      </c>
      <c r="DK52" s="704" t="s">
        <v>963</v>
      </c>
      <c r="DL52" s="337" t="s">
        <v>964</v>
      </c>
      <c r="DM52" s="174" t="s">
        <v>962</v>
      </c>
      <c r="DO52" s="559" t="s">
        <v>574</v>
      </c>
      <c r="DP52" s="704">
        <v>715.10227699999996</v>
      </c>
      <c r="DQ52" s="337">
        <v>708.21246285690745</v>
      </c>
      <c r="DR52" s="1139">
        <v>708.51904785170996</v>
      </c>
      <c r="DS52" s="63"/>
      <c r="DT52" s="563" t="s">
        <v>574</v>
      </c>
      <c r="DU52" s="172">
        <v>1340.9233340000001</v>
      </c>
      <c r="DV52" s="337">
        <v>1248.4377075092311</v>
      </c>
      <c r="DW52" s="1139">
        <v>1342.1680087622401</v>
      </c>
      <c r="DX52" s="63"/>
      <c r="DY52" s="563" t="s">
        <v>574</v>
      </c>
      <c r="DZ52" s="1089">
        <f t="shared" si="32"/>
        <v>1.8751490201170204</v>
      </c>
      <c r="EA52" s="787">
        <f t="shared" si="33"/>
        <v>1.7628010985193223</v>
      </c>
      <c r="EB52" s="776">
        <f t="shared" si="34"/>
        <v>1.8943287591657665</v>
      </c>
      <c r="ED52" s="541"/>
      <c r="EE52" s="563" t="s">
        <v>574</v>
      </c>
      <c r="EF52" s="735">
        <v>306.65212400000001</v>
      </c>
      <c r="EG52" s="736">
        <v>0</v>
      </c>
      <c r="EH52" s="736">
        <v>204.920603</v>
      </c>
      <c r="EI52" s="736">
        <v>121.663849</v>
      </c>
      <c r="EJ52" s="736">
        <v>81.865701000000001</v>
      </c>
      <c r="EK52" s="703">
        <v>373.31067408947166</v>
      </c>
      <c r="EL52" s="704">
        <v>7.0527789711257496</v>
      </c>
      <c r="EM52" s="704">
        <v>168.13175959868266</v>
      </c>
      <c r="EN52" s="704">
        <v>96.0046272586698</v>
      </c>
      <c r="EO52" s="704">
        <v>63.712622938957551</v>
      </c>
      <c r="EP52" s="1137">
        <v>333.75456708912799</v>
      </c>
      <c r="EQ52" s="1138">
        <v>3.6445970906766498</v>
      </c>
      <c r="ER52" s="1138">
        <v>136.98366913709199</v>
      </c>
      <c r="ES52" s="1138">
        <v>146.63670807740101</v>
      </c>
      <c r="ET52" s="1139">
        <v>87.499506457412195</v>
      </c>
      <c r="EV52" s="563" t="s">
        <v>574</v>
      </c>
      <c r="EW52" s="703">
        <v>25.061540999999998</v>
      </c>
      <c r="EX52" s="704">
        <v>117.924684</v>
      </c>
      <c r="EY52" s="704">
        <v>138.75412399999999</v>
      </c>
      <c r="EZ52" s="704">
        <v>24.911774000000001</v>
      </c>
      <c r="FA52" s="703">
        <v>131.96758600000001</v>
      </c>
      <c r="FB52" s="704">
        <v>504.24853100000001</v>
      </c>
      <c r="FC52" s="704">
        <v>440.71248900000001</v>
      </c>
      <c r="FD52" s="704">
        <v>68.351496999999995</v>
      </c>
      <c r="FE52" s="703">
        <v>21.305898158127629</v>
      </c>
      <c r="FF52" s="704">
        <v>147.52206326132043</v>
      </c>
      <c r="FG52" s="704">
        <v>137.59087653945886</v>
      </c>
      <c r="FH52" s="173">
        <v>66.891836130564755</v>
      </c>
      <c r="FI52" s="703">
        <v>142.41070351805854</v>
      </c>
      <c r="FJ52" s="704">
        <v>511.04390450490814</v>
      </c>
      <c r="FK52" s="746">
        <v>334.36972085513349</v>
      </c>
      <c r="FL52" s="747">
        <v>105.79367939006455</v>
      </c>
      <c r="FM52" s="1137">
        <v>10.5225342982631</v>
      </c>
      <c r="FN52" s="1138">
        <v>70.366057809678694</v>
      </c>
      <c r="FO52" s="1138">
        <v>182.25471974064499</v>
      </c>
      <c r="FP52" s="1139">
        <v>70.611255240540999</v>
      </c>
      <c r="FQ52" s="1137">
        <v>129.489348687779</v>
      </c>
      <c r="FR52" s="1138">
        <v>495.91751327003499</v>
      </c>
      <c r="FS52" s="1138">
        <v>405.53029693771799</v>
      </c>
      <c r="FT52" s="1139">
        <v>97.582271112214698</v>
      </c>
      <c r="FV52" s="559" t="s">
        <v>574</v>
      </c>
      <c r="FW52" s="337">
        <v>222.82186300000001</v>
      </c>
      <c r="FX52" s="337">
        <v>97.107344999999995</v>
      </c>
      <c r="FY52" s="337">
        <v>85.028599999999997</v>
      </c>
      <c r="FZ52" s="173">
        <v>3.4923449999999998</v>
      </c>
      <c r="GA52" s="703">
        <v>178.84774645357928</v>
      </c>
      <c r="GB52" s="704">
        <v>71.706184351796395</v>
      </c>
      <c r="GC52" s="704">
        <v>73.805124796568151</v>
      </c>
      <c r="GD52" s="173">
        <v>7.0719177922798799</v>
      </c>
      <c r="GE52" s="1137">
        <v>164.89507396544701</v>
      </c>
      <c r="GF52" s="1138">
        <v>122.31442461817301</v>
      </c>
      <c r="GG52" s="1138">
        <v>66.216718878522002</v>
      </c>
      <c r="GH52" s="1139">
        <v>17.693666209763698</v>
      </c>
      <c r="GJ52" s="563" t="s">
        <v>574</v>
      </c>
      <c r="GK52" s="703">
        <v>739.99912800000004</v>
      </c>
      <c r="GL52" s="704">
        <v>739.99944652251088</v>
      </c>
      <c r="GM52" s="1139">
        <v>739.00071941889598</v>
      </c>
      <c r="GO52" s="563" t="s">
        <v>574</v>
      </c>
      <c r="GP52" s="703">
        <v>715.10227699999996</v>
      </c>
      <c r="GQ52" s="704">
        <v>3.6754199999999999</v>
      </c>
      <c r="GR52" s="173">
        <v>21.221430999999999</v>
      </c>
      <c r="GS52" s="703">
        <v>708.21246285690745</v>
      </c>
      <c r="GT52" s="704">
        <v>7.1340288323172896</v>
      </c>
      <c r="GU52" s="173">
        <v>24.652954833286159</v>
      </c>
      <c r="GV52" s="1137">
        <v>708.51904785170996</v>
      </c>
      <c r="GW52" s="1138">
        <v>5.6225816005476004</v>
      </c>
      <c r="GX52" s="1139">
        <v>24.859089966638699</v>
      </c>
      <c r="GZ52" s="563" t="s">
        <v>574</v>
      </c>
      <c r="HA52" s="703">
        <v>255.67500899999999</v>
      </c>
      <c r="HB52" s="704">
        <v>480.64870300000001</v>
      </c>
      <c r="HC52" s="173">
        <f t="shared" si="7"/>
        <v>3.6754160000000411</v>
      </c>
      <c r="HD52" s="703">
        <v>249.91344560212409</v>
      </c>
      <c r="HE52" s="704">
        <v>490.08600092038682</v>
      </c>
      <c r="HF52" s="173">
        <f t="shared" si="8"/>
        <v>0</v>
      </c>
      <c r="HG52" s="583">
        <v>220.56333017453099</v>
      </c>
      <c r="HH52" s="1138">
        <v>518.43738924436502</v>
      </c>
      <c r="HI52" s="173">
        <f t="shared" si="9"/>
        <v>0</v>
      </c>
      <c r="HK52" s="563" t="s">
        <v>574</v>
      </c>
      <c r="HL52" s="704">
        <v>715.10227699999996</v>
      </c>
      <c r="HM52" s="704">
        <v>2549.7199260000002</v>
      </c>
      <c r="HN52" s="776">
        <f t="shared" si="10"/>
        <v>3.5655318239183851</v>
      </c>
      <c r="HO52" s="703">
        <v>708.21246285690745</v>
      </c>
      <c r="HP52" s="704">
        <v>2401.0882678252042</v>
      </c>
      <c r="HQ52" s="776">
        <f t="shared" si="11"/>
        <v>3.3903502038629587</v>
      </c>
      <c r="HR52" s="1138">
        <v>708.51904785170996</v>
      </c>
      <c r="HS52" s="1138">
        <v>2540.94721121056</v>
      </c>
      <c r="HT52" s="784">
        <f t="shared" si="12"/>
        <v>3.5862793229270662</v>
      </c>
      <c r="HV52" s="563" t="s">
        <v>574</v>
      </c>
      <c r="HW52" s="172">
        <v>248.30581900000001</v>
      </c>
      <c r="HX52" s="337">
        <v>1065.0005160000001</v>
      </c>
      <c r="HY52" s="787">
        <f t="shared" si="13"/>
        <v>4.289067893330361</v>
      </c>
      <c r="HZ52" s="704">
        <v>463.12104199999999</v>
      </c>
      <c r="IA52" s="704">
        <v>1473.6931629999999</v>
      </c>
      <c r="IB52" s="787">
        <f t="shared" si="14"/>
        <v>3.1820907049177003</v>
      </c>
      <c r="IC52" s="703">
        <v>235.80136754989971</v>
      </c>
      <c r="ID52" s="704">
        <v>1068.5205358261692</v>
      </c>
      <c r="IE52" s="787">
        <f t="shared" si="15"/>
        <v>4.5314433369435463</v>
      </c>
      <c r="IF52" s="704">
        <v>472.41109530700771</v>
      </c>
      <c r="IG52" s="704">
        <v>1332.567731999035</v>
      </c>
      <c r="IH52" s="776">
        <f t="shared" si="16"/>
        <v>2.8207799207870718</v>
      </c>
      <c r="II52" s="1137">
        <v>211.432262135087</v>
      </c>
      <c r="IJ52" s="1138">
        <v>946.84181541873102</v>
      </c>
      <c r="IK52" s="1170">
        <f t="shared" si="17"/>
        <v>4.4782277115957863</v>
      </c>
      <c r="IL52" s="1138">
        <v>497.08678571662301</v>
      </c>
      <c r="IM52" s="1138">
        <v>1594.10539579183</v>
      </c>
      <c r="IN52" s="1171">
        <f t="shared" si="18"/>
        <v>3.2068955393648109</v>
      </c>
      <c r="IP52" s="563" t="s">
        <v>574</v>
      </c>
      <c r="IQ52" s="172">
        <v>32.621271999999998</v>
      </c>
      <c r="IR52" s="704">
        <v>81.147679999999994</v>
      </c>
      <c r="IS52" s="704">
        <v>225.995216</v>
      </c>
      <c r="IT52" s="704">
        <v>232.33692400000001</v>
      </c>
      <c r="IU52" s="704">
        <v>143.00118499999999</v>
      </c>
      <c r="IV52" s="704">
        <v>2549.7199260000002</v>
      </c>
      <c r="IW52" s="703">
        <v>35.358157303894338</v>
      </c>
      <c r="IX52" s="704">
        <v>141.10779044165724</v>
      </c>
      <c r="IY52" s="704">
        <v>221.70316166816741</v>
      </c>
      <c r="IZ52" s="704">
        <v>205.89074239697288</v>
      </c>
      <c r="JA52" s="704">
        <v>104.15261104621555</v>
      </c>
      <c r="JB52" s="173">
        <v>2401.0882678252042</v>
      </c>
      <c r="JC52" s="1137">
        <v>27.549512190765299</v>
      </c>
      <c r="JD52" s="1138">
        <v>101.87859359788</v>
      </c>
      <c r="JE52" s="1138">
        <v>199.597659034598</v>
      </c>
      <c r="JF52" s="1138">
        <v>241.55694669689899</v>
      </c>
      <c r="JG52" s="1138">
        <v>137.93633633156699</v>
      </c>
      <c r="JH52" s="1139">
        <v>2540.94721121056</v>
      </c>
      <c r="JJ52" s="563" t="s">
        <v>574</v>
      </c>
      <c r="JK52" s="172">
        <v>284.21054700000002</v>
      </c>
      <c r="JL52" s="337">
        <v>77.592810999999983</v>
      </c>
      <c r="JM52" s="337">
        <v>353.29891800000001</v>
      </c>
      <c r="JN52" s="173">
        <v>0</v>
      </c>
      <c r="JO52" s="703">
        <v>273.63556305989334</v>
      </c>
      <c r="JP52" s="704">
        <v>54.184974455077224</v>
      </c>
      <c r="JQ52" s="704">
        <v>376.85596644579692</v>
      </c>
      <c r="JR52" s="173">
        <v>3.53595889613994</v>
      </c>
      <c r="JS52" s="1137">
        <v>242.41249267162701</v>
      </c>
      <c r="JT52" s="1138">
        <v>116.68835211825399</v>
      </c>
      <c r="JU52" s="1138">
        <v>345.77360597115199</v>
      </c>
      <c r="JV52" s="1139">
        <v>3.6445970906766498</v>
      </c>
      <c r="JX52" s="563" t="s">
        <v>574</v>
      </c>
      <c r="JY52" s="703">
        <v>80.464650276457903</v>
      </c>
      <c r="JZ52" s="704">
        <v>150.47328338006901</v>
      </c>
      <c r="KA52" s="704">
        <v>135.153319148077</v>
      </c>
      <c r="KB52" s="173">
        <v>342.42779504710597</v>
      </c>
      <c r="KC52" s="603"/>
      <c r="KD52" s="563" t="s">
        <v>574</v>
      </c>
      <c r="KE52" s="703">
        <v>0</v>
      </c>
      <c r="KF52" s="704">
        <v>3.5084900013611402</v>
      </c>
      <c r="KG52" s="704">
        <v>173.47687367389901</v>
      </c>
      <c r="KH52" s="704">
        <v>305.95823367723398</v>
      </c>
      <c r="KI52" s="704">
        <v>7.1442531808689704</v>
      </c>
      <c r="KJ52" s="173">
        <v>6.9989351832595004</v>
      </c>
      <c r="KK52" s="703">
        <v>6.7964747886973802</v>
      </c>
      <c r="KL52" s="704">
        <v>11.2619237535817</v>
      </c>
      <c r="KM52" s="704">
        <v>129.133304871695</v>
      </c>
      <c r="KN52" s="704">
        <v>56.2932405809158</v>
      </c>
      <c r="KO52" s="704">
        <v>3.5084900013611402</v>
      </c>
      <c r="KP52" s="173">
        <v>4.4388281388362296</v>
      </c>
      <c r="KQ52" s="703">
        <v>6.7964747886973802</v>
      </c>
      <c r="KR52" s="704">
        <v>14.770413754942901</v>
      </c>
      <c r="KS52" s="704">
        <v>302.61017854559401</v>
      </c>
      <c r="KT52" s="704">
        <v>362.25147425814998</v>
      </c>
      <c r="KU52" s="704">
        <v>10.6527431822301</v>
      </c>
      <c r="KV52" s="173">
        <v>11.4377633220957</v>
      </c>
      <c r="KW52" s="429"/>
      <c r="KX52" s="563" t="s">
        <v>574</v>
      </c>
      <c r="KY52" s="172">
        <f t="shared" si="35"/>
        <v>88.916304999999966</v>
      </c>
      <c r="KZ52" s="337">
        <v>493.36159500000002</v>
      </c>
      <c r="LA52" s="173">
        <v>132.824377</v>
      </c>
      <c r="LB52" s="172">
        <f t="shared" si="36"/>
        <v>144.05124788810838</v>
      </c>
      <c r="LC52" s="704">
        <v>429.98816251252379</v>
      </c>
      <c r="LD52" s="173">
        <v>134.17305245627529</v>
      </c>
      <c r="LE52" s="172">
        <f t="shared" si="37"/>
        <v>144.99927976148297</v>
      </c>
      <c r="LF52" s="1138">
        <v>408.279480240314</v>
      </c>
      <c r="LG52" s="1139">
        <v>155.24028784991299</v>
      </c>
      <c r="LH52" s="426"/>
      <c r="LI52" s="563" t="s">
        <v>574</v>
      </c>
      <c r="LJ52" s="172">
        <v>623.00648100000001</v>
      </c>
      <c r="LK52" s="337">
        <v>558.65292799999997</v>
      </c>
      <c r="LL52" s="337">
        <v>64.353553000000005</v>
      </c>
      <c r="LM52" s="337">
        <v>60.570903999999999</v>
      </c>
      <c r="LN52" s="337">
        <v>67.849165999999997</v>
      </c>
      <c r="LO52" s="173">
        <v>21.038333999999999</v>
      </c>
      <c r="LP52" s="703">
        <v>634.83308955140569</v>
      </c>
      <c r="LQ52" s="704">
        <v>555.29044742832923</v>
      </c>
      <c r="LR52" s="704">
        <v>79.542642123076391</v>
      </c>
      <c r="LS52" s="704">
        <v>60.917376199422939</v>
      </c>
      <c r="LT52" s="704">
        <v>49.621992323670007</v>
      </c>
      <c r="LU52" s="173">
        <v>17.733526241938982</v>
      </c>
      <c r="LV52" s="1137">
        <v>642.97134955230001</v>
      </c>
      <c r="LW52" s="1138">
        <v>541.23186911796097</v>
      </c>
      <c r="LX52" s="1138">
        <v>101.739480434339</v>
      </c>
      <c r="LY52" s="1138">
        <v>70.391219244118901</v>
      </c>
      <c r="LZ52" s="1138">
        <v>64.868053128835498</v>
      </c>
      <c r="MA52" s="1139">
        <v>46.278947348720699</v>
      </c>
      <c r="MC52" s="563" t="s">
        <v>574</v>
      </c>
      <c r="MD52" s="172">
        <v>0</v>
      </c>
      <c r="ME52" s="337">
        <v>0</v>
      </c>
      <c r="MF52" s="337">
        <v>28.788609999999998</v>
      </c>
      <c r="MG52" s="337">
        <v>128.138192</v>
      </c>
      <c r="MH52" s="337">
        <v>241.21103099999999</v>
      </c>
      <c r="MI52" s="173">
        <v>160.515096</v>
      </c>
      <c r="MJ52" s="703">
        <v>0</v>
      </c>
      <c r="MK52" s="704">
        <v>21.060206851084001</v>
      </c>
      <c r="ML52" s="704">
        <v>43.541858182573982</v>
      </c>
      <c r="MM52" s="704">
        <v>105.48519143202364</v>
      </c>
      <c r="MN52" s="704">
        <v>248.03450641448521</v>
      </c>
      <c r="MO52" s="173">
        <v>137.1686845481625</v>
      </c>
      <c r="MP52" s="1137">
        <v>0</v>
      </c>
      <c r="MQ52" s="1138">
        <v>17.395145732564899</v>
      </c>
      <c r="MR52" s="1138">
        <v>45.437294338385499</v>
      </c>
      <c r="MS52" s="1138">
        <v>157.807120125285</v>
      </c>
      <c r="MT52" s="1138">
        <v>209.09216747750301</v>
      </c>
      <c r="MU52" s="1139">
        <v>111.500141444222</v>
      </c>
      <c r="MW52" s="563" t="s">
        <v>574</v>
      </c>
      <c r="MX52" s="172">
        <v>561.973073</v>
      </c>
      <c r="MY52" s="337">
        <v>558.65292799999997</v>
      </c>
      <c r="MZ52" s="337">
        <v>3.3201450000000001</v>
      </c>
      <c r="NA52" s="703">
        <v>555.29044742832923</v>
      </c>
      <c r="NB52" s="704">
        <v>527.03411185555933</v>
      </c>
      <c r="NC52" s="173">
        <v>28.256335572769959</v>
      </c>
      <c r="ND52" s="1137">
        <v>555.256806713674</v>
      </c>
      <c r="NE52" s="1138">
        <v>528.05997021607095</v>
      </c>
      <c r="NF52" s="1139">
        <v>27.1968364976033</v>
      </c>
      <c r="NH52" s="563" t="s">
        <v>574</v>
      </c>
      <c r="NI52" s="703">
        <v>455.28843188319337</v>
      </c>
      <c r="NJ52" s="173">
        <v>71.745679972365963</v>
      </c>
      <c r="NK52" s="703">
        <v>21.262191043367899</v>
      </c>
      <c r="NL52" s="704">
        <v>6.9941445294020603</v>
      </c>
      <c r="NM52" s="173">
        <v>0</v>
      </c>
      <c r="NN52" s="1137">
        <v>419.22643754307001</v>
      </c>
      <c r="NO52" s="1139">
        <v>108.83353267300048</v>
      </c>
      <c r="NP52" s="1137">
        <v>20.400361708905901</v>
      </c>
      <c r="NQ52" s="1138">
        <v>6.7964747886973802</v>
      </c>
      <c r="NR52" s="1139">
        <v>0</v>
      </c>
      <c r="NS52" s="136"/>
      <c r="NT52" s="563" t="s">
        <v>574</v>
      </c>
      <c r="NU52" s="703">
        <v>56.604292126628962</v>
      </c>
      <c r="NV52" s="704">
        <v>7.0688797340550202</v>
      </c>
      <c r="NW52" s="704">
        <v>0</v>
      </c>
      <c r="NX52" s="173">
        <v>8.0725081116819801</v>
      </c>
      <c r="NY52" s="1137">
        <v>90.876486195774604</v>
      </c>
      <c r="NZ52" s="1138">
        <v>7.1442531808689704</v>
      </c>
      <c r="OA52" s="1138">
        <v>0</v>
      </c>
      <c r="OB52" s="1139">
        <v>10.812793296356899</v>
      </c>
      <c r="OC52" s="553"/>
      <c r="OD52" s="563" t="s">
        <v>574</v>
      </c>
      <c r="OE52" s="703">
        <v>45.165080159754503</v>
      </c>
      <c r="OF52" s="704">
        <v>74.243080691367396</v>
      </c>
      <c r="OG52" s="704">
        <v>38.9232934409157</v>
      </c>
      <c r="OH52" s="704">
        <v>31.845876983623601</v>
      </c>
      <c r="OI52" s="704">
        <v>52.857603148481999</v>
      </c>
      <c r="OJ52" s="704">
        <v>14.560720540368999</v>
      </c>
      <c r="OK52" s="173">
        <v>21.3141317770665</v>
      </c>
      <c r="OL52" s="703">
        <v>73.118787609482297</v>
      </c>
      <c r="OM52" s="704">
        <v>74.243080691367396</v>
      </c>
      <c r="ON52" s="704">
        <v>38.9232934409157</v>
      </c>
      <c r="OO52" s="704">
        <v>31.845876983623601</v>
      </c>
      <c r="OP52" s="704">
        <v>97.643471704155004</v>
      </c>
      <c r="OQ52" s="704">
        <v>79.267850321803394</v>
      </c>
      <c r="OR52" s="173">
        <v>919.762230998164</v>
      </c>
      <c r="OT52" s="563" t="s">
        <v>574</v>
      </c>
      <c r="OU52" s="172">
        <v>471.29865899999999</v>
      </c>
      <c r="OV52" s="337">
        <v>335.26064500000001</v>
      </c>
      <c r="OW52" s="337">
        <v>150.249818</v>
      </c>
      <c r="OX52" s="173">
        <v>110.181889</v>
      </c>
      <c r="OY52" s="703">
        <v>358.46599696782243</v>
      </c>
      <c r="OZ52" s="704">
        <v>267.81840784824777</v>
      </c>
      <c r="PA52" s="704">
        <v>242.10257541951719</v>
      </c>
      <c r="PB52" s="173">
        <v>138.43713831136662</v>
      </c>
      <c r="PC52" s="1137">
        <v>279.3785107768598</v>
      </c>
      <c r="PD52" s="1138">
        <v>314.54868763100399</v>
      </c>
      <c r="PE52" s="1138">
        <v>175.894701280352</v>
      </c>
      <c r="PF52" s="1139">
        <v>238.11919786998962</v>
      </c>
      <c r="PH52" s="563" t="s">
        <v>574</v>
      </c>
      <c r="PI52" s="703">
        <v>72.596710295281497</v>
      </c>
      <c r="PJ52" s="704">
        <v>162.2931923699</v>
      </c>
      <c r="PK52" s="704">
        <v>70.7875656362542</v>
      </c>
      <c r="PL52" s="173">
        <v>118.9031896461984</v>
      </c>
      <c r="PM52" s="703">
        <v>206.78180048157881</v>
      </c>
      <c r="PN52" s="704">
        <v>152.25549526110299</v>
      </c>
      <c r="PO52" s="704">
        <v>105.10713564409799</v>
      </c>
      <c r="PP52" s="173">
        <v>119.21600822379119</v>
      </c>
      <c r="PQ52" s="65"/>
      <c r="PR52" s="563" t="s">
        <v>574</v>
      </c>
      <c r="PS52" s="1038">
        <v>10.525470004083401</v>
      </c>
      <c r="PT52" s="1039">
        <v>60.6214264639923</v>
      </c>
      <c r="PU52" s="1039">
        <v>7.15308709203779</v>
      </c>
      <c r="PV52" s="1039">
        <v>6.7106932186757096</v>
      </c>
      <c r="PW52" s="1039">
        <v>342.080609325941</v>
      </c>
      <c r="PX52" s="1040">
        <v>128.16552060894401</v>
      </c>
      <c r="PZ52" s="563" t="s">
        <v>574</v>
      </c>
      <c r="QA52" s="1038">
        <v>399.90815401453</v>
      </c>
      <c r="QB52" s="1039">
        <v>155.348652699144</v>
      </c>
      <c r="QC52" s="1039">
        <v>141.30860598978899</v>
      </c>
      <c r="QD52" s="1039">
        <v>3.5084900013611402</v>
      </c>
      <c r="QE52" s="1039">
        <v>7.0320891163647596</v>
      </c>
      <c r="QF52" s="1040">
        <v>3.4994675916297502</v>
      </c>
    </row>
    <row r="53" spans="1:448" ht="13.5" customHeight="1">
      <c r="A53" s="593" t="s">
        <v>518</v>
      </c>
      <c r="B53" s="559" t="s">
        <v>575</v>
      </c>
      <c r="C53" s="1103">
        <v>1768.0275140000001</v>
      </c>
      <c r="D53" s="690">
        <v>1606.3337694036577</v>
      </c>
      <c r="E53" s="691">
        <v>1602.46238602533</v>
      </c>
      <c r="F53" s="428"/>
      <c r="G53" s="563" t="s">
        <v>575</v>
      </c>
      <c r="H53" s="686">
        <f t="shared" si="5"/>
        <v>-1.8999216920018269E-2</v>
      </c>
      <c r="I53" s="668">
        <f t="shared" si="6"/>
        <v>-4.8248016525254123E-4</v>
      </c>
      <c r="J53" s="612"/>
      <c r="K53" s="63"/>
      <c r="L53" s="559" t="s">
        <v>575</v>
      </c>
      <c r="M53" s="636">
        <v>16</v>
      </c>
      <c r="N53" s="637">
        <v>21</v>
      </c>
      <c r="O53" s="637">
        <v>24</v>
      </c>
      <c r="P53" s="637">
        <v>17</v>
      </c>
      <c r="Q53" s="637">
        <v>21</v>
      </c>
      <c r="R53" s="637">
        <v>16</v>
      </c>
      <c r="S53" s="637">
        <v>19</v>
      </c>
      <c r="T53" s="637">
        <v>12</v>
      </c>
      <c r="U53" s="1138">
        <v>14</v>
      </c>
      <c r="V53" s="1138">
        <v>9</v>
      </c>
      <c r="W53" s="1139">
        <v>16</v>
      </c>
      <c r="X53" s="563" t="s">
        <v>575</v>
      </c>
      <c r="Y53" s="666">
        <v>18.5</v>
      </c>
      <c r="Z53" s="667">
        <v>20.5</v>
      </c>
      <c r="AA53" s="667">
        <v>18.5</v>
      </c>
      <c r="AB53" s="667">
        <v>15.5</v>
      </c>
      <c r="AC53" s="667">
        <v>15.5</v>
      </c>
      <c r="AD53" s="668">
        <v>0.10810810810810811</v>
      </c>
      <c r="AE53" s="668">
        <v>-9.7560975609756101E-2</v>
      </c>
      <c r="AF53" s="668">
        <v>-0.16216216216216217</v>
      </c>
      <c r="AG53" s="1213">
        <v>-9.7560975609756101E-2</v>
      </c>
      <c r="AN53" s="563" t="s">
        <v>575</v>
      </c>
      <c r="AO53" s="636">
        <v>0</v>
      </c>
      <c r="AP53" s="637">
        <v>15.912221000000001</v>
      </c>
      <c r="AQ53" s="637">
        <v>23.308014</v>
      </c>
      <c r="AR53" s="637">
        <v>209.300465</v>
      </c>
      <c r="AS53" s="637">
        <v>380.84456299999999</v>
      </c>
      <c r="AT53" s="637">
        <v>413.46549299999998</v>
      </c>
      <c r="AU53" s="637">
        <v>298.850234</v>
      </c>
      <c r="AV53" s="173">
        <v>204.909391</v>
      </c>
      <c r="AW53" s="636">
        <v>0</v>
      </c>
      <c r="AX53" s="637">
        <v>21.875672227147245</v>
      </c>
      <c r="AY53" s="637">
        <v>26.937062209342447</v>
      </c>
      <c r="AZ53" s="637">
        <v>161.355362212134</v>
      </c>
      <c r="BA53" s="637">
        <v>317.04818056663049</v>
      </c>
      <c r="BB53" s="637">
        <v>280.78274128783306</v>
      </c>
      <c r="BC53" s="637">
        <v>469.92369724124632</v>
      </c>
      <c r="BD53" s="173">
        <v>171.62194228853821</v>
      </c>
      <c r="BE53" s="1137">
        <v>3.18026566073135</v>
      </c>
      <c r="BF53" s="1138">
        <v>14.2135374906139</v>
      </c>
      <c r="BG53" s="1138">
        <v>35.808184310405402</v>
      </c>
      <c r="BH53" s="1138">
        <v>150.14934440015301</v>
      </c>
      <c r="BI53" s="1138">
        <v>328.213266432159</v>
      </c>
      <c r="BJ53" s="1138">
        <v>240.686610140201</v>
      </c>
      <c r="BK53" s="1138">
        <v>499.141223111638</v>
      </c>
      <c r="BL53" s="1139">
        <v>185.94818413359499</v>
      </c>
      <c r="BN53" s="563" t="s">
        <v>575</v>
      </c>
      <c r="BO53" s="647">
        <v>221.43713299999999</v>
      </c>
      <c r="BP53" s="648">
        <v>532.03679199999999</v>
      </c>
      <c r="BQ53" s="648">
        <v>423.64628399999998</v>
      </c>
      <c r="BR53" s="648">
        <v>270.19068499999997</v>
      </c>
      <c r="BS53" s="648">
        <v>220.46904699999999</v>
      </c>
      <c r="BT53" s="173">
        <v>100.247573</v>
      </c>
      <c r="BU53" s="647">
        <v>156.78911137078595</v>
      </c>
      <c r="BV53" s="648">
        <v>350.67829903698839</v>
      </c>
      <c r="BW53" s="648">
        <v>230.089579780283</v>
      </c>
      <c r="BX53" s="648">
        <v>340.04161774394908</v>
      </c>
      <c r="BY53" s="648">
        <v>284.24580142615144</v>
      </c>
      <c r="BZ53" s="173">
        <v>244.48936004549992</v>
      </c>
      <c r="CA53" s="1137">
        <v>145.121770345832</v>
      </c>
      <c r="CB53" s="1138">
        <v>340.55865796533601</v>
      </c>
      <c r="CC53" s="1138">
        <v>246.291921558626</v>
      </c>
      <c r="CD53" s="1138">
        <v>307.63798833714498</v>
      </c>
      <c r="CE53" s="1138">
        <v>290.46111356977701</v>
      </c>
      <c r="CF53" s="1139">
        <v>272.39093424861102</v>
      </c>
      <c r="CG53" s="429"/>
      <c r="CH53" s="563" t="s">
        <v>575</v>
      </c>
      <c r="CI53" s="172">
        <v>351.37973099999999</v>
      </c>
      <c r="CJ53" s="337">
        <v>1185.9746680000001</v>
      </c>
      <c r="CK53" s="337">
        <v>230.673115</v>
      </c>
      <c r="CL53" s="647">
        <v>225.46062730199856</v>
      </c>
      <c r="CM53" s="648">
        <v>977.85450820581036</v>
      </c>
      <c r="CN53" s="648">
        <v>403.01863389584878</v>
      </c>
      <c r="CO53" s="1137">
        <v>232.79406096608199</v>
      </c>
      <c r="CP53" s="1138">
        <v>924.41307354272396</v>
      </c>
      <c r="CQ53" s="1139">
        <v>445.25525151652198</v>
      </c>
      <c r="CR53" s="429"/>
      <c r="DB53" s="426"/>
      <c r="DC53" s="426"/>
      <c r="DD53" s="426"/>
      <c r="DE53" s="426"/>
      <c r="DG53" s="563" t="s">
        <v>575</v>
      </c>
      <c r="DH53" s="1147" t="s">
        <v>765</v>
      </c>
      <c r="DI53" s="1150" t="s">
        <v>965</v>
      </c>
      <c r="DJ53" s="704" t="s">
        <v>966</v>
      </c>
      <c r="DK53" s="704" t="s">
        <v>967</v>
      </c>
      <c r="DL53" s="337" t="s">
        <v>968</v>
      </c>
      <c r="DM53" s="174" t="s">
        <v>962</v>
      </c>
      <c r="DO53" s="559" t="s">
        <v>575</v>
      </c>
      <c r="DP53" s="704">
        <v>1044.8451170000001</v>
      </c>
      <c r="DQ53" s="337">
        <v>1021.910618583341</v>
      </c>
      <c r="DR53" s="1139">
        <v>1021.3993588572999</v>
      </c>
      <c r="DS53" s="63"/>
      <c r="DT53" s="563" t="s">
        <v>575</v>
      </c>
      <c r="DU53" s="172">
        <v>1768.0275140000001</v>
      </c>
      <c r="DV53" s="337">
        <v>1605.3337701851706</v>
      </c>
      <c r="DW53" s="1139">
        <v>1578.46236165609</v>
      </c>
      <c r="DX53" s="63"/>
      <c r="DY53" s="563" t="s">
        <v>575</v>
      </c>
      <c r="DZ53" s="1089">
        <f t="shared" si="32"/>
        <v>1.6921431561803433</v>
      </c>
      <c r="EA53" s="787">
        <f t="shared" si="33"/>
        <v>1.5709140711451066</v>
      </c>
      <c r="EB53" s="776">
        <f t="shared" si="34"/>
        <v>1.5453919644339795</v>
      </c>
      <c r="ED53" s="541"/>
      <c r="EE53" s="563" t="s">
        <v>575</v>
      </c>
      <c r="EF53" s="735">
        <v>615.92448000000002</v>
      </c>
      <c r="EG53" s="736">
        <v>19.28238</v>
      </c>
      <c r="EH53" s="736">
        <v>176.777738</v>
      </c>
      <c r="EI53" s="736">
        <v>134.71388899999999</v>
      </c>
      <c r="EJ53" s="736">
        <v>98.146630000000002</v>
      </c>
      <c r="EK53" s="703">
        <v>650.38157199212674</v>
      </c>
      <c r="EL53" s="704">
        <v>11.948691888307367</v>
      </c>
      <c r="EM53" s="704">
        <v>179.09703426100984</v>
      </c>
      <c r="EN53" s="704">
        <v>121.30620134187645</v>
      </c>
      <c r="EO53" s="704">
        <v>59.177119100020811</v>
      </c>
      <c r="EP53" s="1137">
        <v>634.10218728962604</v>
      </c>
      <c r="EQ53" s="1138">
        <v>11.904233558751599</v>
      </c>
      <c r="ER53" s="1138">
        <v>215.04423196515401</v>
      </c>
      <c r="ES53" s="1138">
        <v>72.864943427394607</v>
      </c>
      <c r="ET53" s="1139">
        <v>87.483762616376595</v>
      </c>
      <c r="EV53" s="563" t="s">
        <v>575</v>
      </c>
      <c r="EW53" s="703">
        <v>107.882345</v>
      </c>
      <c r="EX53" s="704">
        <v>313.76165700000001</v>
      </c>
      <c r="EY53" s="704">
        <v>180.16780199999999</v>
      </c>
      <c r="EZ53" s="704">
        <v>14.112676</v>
      </c>
      <c r="FA53" s="703">
        <v>339.13533899999999</v>
      </c>
      <c r="FB53" s="704">
        <v>823.61906399999998</v>
      </c>
      <c r="FC53" s="704">
        <v>344.74853100000001</v>
      </c>
      <c r="FD53" s="704">
        <v>39.087446999999997</v>
      </c>
      <c r="FE53" s="703">
        <v>69.84331567218787</v>
      </c>
      <c r="FF53" s="704">
        <v>214.00783453518642</v>
      </c>
      <c r="FG53" s="704">
        <v>225.76837605940494</v>
      </c>
      <c r="FH53" s="173">
        <v>140.76204572534735</v>
      </c>
      <c r="FI53" s="703">
        <v>222.81536434727471</v>
      </c>
      <c r="FJ53" s="704">
        <v>589.14802261327623</v>
      </c>
      <c r="FK53" s="746">
        <v>462.03002754049112</v>
      </c>
      <c r="FL53" s="747">
        <v>174.55124431334238</v>
      </c>
      <c r="FM53" s="1137">
        <v>76.580134965729101</v>
      </c>
      <c r="FN53" s="1138">
        <v>177.53911587422601</v>
      </c>
      <c r="FO53" s="1138">
        <v>256.96079704094802</v>
      </c>
      <c r="FP53" s="1139">
        <v>123.022139408724</v>
      </c>
      <c r="FQ53" s="1137">
        <v>241.01479130051999</v>
      </c>
      <c r="FR53" s="1138">
        <v>530.57651008897199</v>
      </c>
      <c r="FS53" s="1138">
        <v>499.897541014865</v>
      </c>
      <c r="FT53" s="1139">
        <v>166.85175398282499</v>
      </c>
      <c r="FV53" s="559" t="s">
        <v>575</v>
      </c>
      <c r="FW53" s="337">
        <v>198.59557000000001</v>
      </c>
      <c r="FX53" s="337">
        <v>107.589186</v>
      </c>
      <c r="FY53" s="337">
        <v>77.049447999999998</v>
      </c>
      <c r="FZ53" s="173">
        <v>26.404054000000002</v>
      </c>
      <c r="GA53" s="703">
        <v>188.21049464853735</v>
      </c>
      <c r="GB53" s="704">
        <v>103.45205208540044</v>
      </c>
      <c r="GC53" s="704">
        <v>60.046262480041719</v>
      </c>
      <c r="GD53" s="173">
        <v>7.871545488927552</v>
      </c>
      <c r="GE53" s="1137">
        <v>227.42748997682699</v>
      </c>
      <c r="GF53" s="1138">
        <v>82.922288352943298</v>
      </c>
      <c r="GG53" s="1138">
        <v>51.6574462497057</v>
      </c>
      <c r="GH53" s="1139">
        <v>13.38571342944925</v>
      </c>
      <c r="GJ53" s="563" t="s">
        <v>575</v>
      </c>
      <c r="GK53" s="703">
        <v>1077.9987249999999</v>
      </c>
      <c r="GL53" s="704">
        <v>1082.499201363217</v>
      </c>
      <c r="GM53" s="1139">
        <v>1119.00103711255</v>
      </c>
      <c r="GO53" s="563" t="s">
        <v>575</v>
      </c>
      <c r="GP53" s="703">
        <v>1044.8451170000001</v>
      </c>
      <c r="GQ53" s="704">
        <v>3.796608</v>
      </c>
      <c r="GR53" s="173">
        <v>29.356999999999999</v>
      </c>
      <c r="GS53" s="703">
        <v>1021.910618583341</v>
      </c>
      <c r="GT53" s="704">
        <v>10.209287558059865</v>
      </c>
      <c r="GU53" s="173">
        <v>50.379295221816101</v>
      </c>
      <c r="GV53" s="1137">
        <v>1021.3993588572999</v>
      </c>
      <c r="GW53" s="1138">
        <v>16.2096625862469</v>
      </c>
      <c r="GX53" s="1139">
        <v>81.392015669003797</v>
      </c>
      <c r="GZ53" s="563" t="s">
        <v>575</v>
      </c>
      <c r="HA53" s="703">
        <v>67.609708999999995</v>
      </c>
      <c r="HB53" s="704">
        <v>996.48193000000003</v>
      </c>
      <c r="HC53" s="173">
        <f t="shared" si="7"/>
        <v>13.907085999999936</v>
      </c>
      <c r="HD53" s="703">
        <v>82.381604557771965</v>
      </c>
      <c r="HE53" s="704">
        <v>836.22360843815318</v>
      </c>
      <c r="HF53" s="173">
        <f t="shared" si="8"/>
        <v>163.89398836729185</v>
      </c>
      <c r="HG53" s="583">
        <v>79.919693856814206</v>
      </c>
      <c r="HH53" s="1138">
        <v>959.57470173745605</v>
      </c>
      <c r="HI53" s="173">
        <f t="shared" si="9"/>
        <v>79.506641518279594</v>
      </c>
      <c r="HK53" s="563" t="s">
        <v>575</v>
      </c>
      <c r="HL53" s="704">
        <v>1044.8451170000001</v>
      </c>
      <c r="HM53" s="704">
        <v>2921.0664689999999</v>
      </c>
      <c r="HN53" s="776">
        <f t="shared" si="10"/>
        <v>2.7956932769012499</v>
      </c>
      <c r="HO53" s="703">
        <v>1021.910618583341</v>
      </c>
      <c r="HP53" s="704">
        <v>2658.1168276846961</v>
      </c>
      <c r="HQ53" s="776">
        <f t="shared" si="11"/>
        <v>2.6011245791433328</v>
      </c>
      <c r="HR53" s="1138">
        <v>1021.3993588572999</v>
      </c>
      <c r="HS53" s="1138">
        <v>2760.6597200163501</v>
      </c>
      <c r="HT53" s="784">
        <f t="shared" si="12"/>
        <v>2.7028210817606779</v>
      </c>
      <c r="HV53" s="563" t="s">
        <v>575</v>
      </c>
      <c r="HW53" s="172">
        <v>63.813101000000003</v>
      </c>
      <c r="HX53" s="337">
        <v>320.87490200000002</v>
      </c>
      <c r="HY53" s="787">
        <f t="shared" si="13"/>
        <v>5.0283546320684209</v>
      </c>
      <c r="HZ53" s="704">
        <v>967.12492999999995</v>
      </c>
      <c r="IA53" s="704">
        <v>2568.4612090000001</v>
      </c>
      <c r="IB53" s="787">
        <f t="shared" si="14"/>
        <v>2.6557698279993676</v>
      </c>
      <c r="IC53" s="703">
        <v>79.316116137277405</v>
      </c>
      <c r="ID53" s="704">
        <v>360.1323565806278</v>
      </c>
      <c r="IE53" s="787">
        <f t="shared" si="15"/>
        <v>4.5404688746650681</v>
      </c>
      <c r="IF53" s="704">
        <v>790.84081829838817</v>
      </c>
      <c r="IG53" s="704">
        <v>2124.985271175718</v>
      </c>
      <c r="IH53" s="776">
        <f t="shared" si="16"/>
        <v>2.6869949324921549</v>
      </c>
      <c r="II53" s="1137">
        <v>71.833181778468003</v>
      </c>
      <c r="IJ53" s="1138">
        <v>325.28550356956703</v>
      </c>
      <c r="IK53" s="1170">
        <f t="shared" si="17"/>
        <v>4.528346030567608</v>
      </c>
      <c r="IL53" s="1138">
        <v>870.05953556055101</v>
      </c>
      <c r="IM53" s="1138">
        <v>2327.24518398191</v>
      </c>
      <c r="IN53" s="1171">
        <f t="shared" si="18"/>
        <v>2.6748114225109227</v>
      </c>
      <c r="IP53" s="563" t="s">
        <v>575</v>
      </c>
      <c r="IQ53" s="172">
        <v>130.019071</v>
      </c>
      <c r="IR53" s="704">
        <v>340.16262599999999</v>
      </c>
      <c r="IS53" s="704">
        <v>319.02700099999998</v>
      </c>
      <c r="IT53" s="704">
        <v>168.460477</v>
      </c>
      <c r="IU53" s="704">
        <v>87.175942000000006</v>
      </c>
      <c r="IV53" s="704">
        <v>2921.0664689999999</v>
      </c>
      <c r="IW53" s="703">
        <v>264.22909143742578</v>
      </c>
      <c r="IX53" s="704">
        <v>248.93102783642232</v>
      </c>
      <c r="IY53" s="704">
        <v>232.22972102802919</v>
      </c>
      <c r="IZ53" s="704">
        <v>205.29155423878041</v>
      </c>
      <c r="JA53" s="704">
        <v>71.229224042683356</v>
      </c>
      <c r="JB53" s="173">
        <v>2658.1168276846961</v>
      </c>
      <c r="JC53" s="1137">
        <v>200.43457378610299</v>
      </c>
      <c r="JD53" s="1138">
        <v>294.63127832472401</v>
      </c>
      <c r="JE53" s="1138">
        <v>263.71670099513898</v>
      </c>
      <c r="JF53" s="1138">
        <v>172.64980696706601</v>
      </c>
      <c r="JG53" s="1138">
        <v>89.966998784270501</v>
      </c>
      <c r="JH53" s="1139">
        <v>2760.6597200163501</v>
      </c>
      <c r="JJ53" s="563" t="s">
        <v>575</v>
      </c>
      <c r="JK53" s="172">
        <v>56.264983000000001</v>
      </c>
      <c r="JL53" s="337">
        <v>198.90369299999998</v>
      </c>
      <c r="JM53" s="337">
        <v>786.56594600000005</v>
      </c>
      <c r="JN53" s="173">
        <v>3.1104949999999998</v>
      </c>
      <c r="JO53" s="703">
        <v>116.06349996580737</v>
      </c>
      <c r="JP53" s="704">
        <v>148.94196452955373</v>
      </c>
      <c r="JQ53" s="704">
        <v>756.90515408798001</v>
      </c>
      <c r="JR53" s="173">
        <v>0</v>
      </c>
      <c r="JS53" s="1137">
        <v>87.160470578870004</v>
      </c>
      <c r="JT53" s="1138">
        <v>334.02234746167801</v>
      </c>
      <c r="JU53" s="1138">
        <v>600.21654081675501</v>
      </c>
      <c r="JV53" s="1139">
        <v>0</v>
      </c>
      <c r="JX53" s="563" t="s">
        <v>575</v>
      </c>
      <c r="JY53" s="703">
        <v>167.179084542705</v>
      </c>
      <c r="JZ53" s="704">
        <v>278.50945639343399</v>
      </c>
      <c r="KA53" s="704">
        <v>204.05332980595301</v>
      </c>
      <c r="KB53" s="173">
        <v>371.65748811521098</v>
      </c>
      <c r="KC53" s="603"/>
      <c r="KD53" s="563" t="s">
        <v>575</v>
      </c>
      <c r="KE53" s="703">
        <v>3.0536260485342401</v>
      </c>
      <c r="KF53" s="704">
        <v>6.2417646398343001</v>
      </c>
      <c r="KG53" s="704">
        <v>368.32223772498298</v>
      </c>
      <c r="KH53" s="704">
        <v>290.36753695889502</v>
      </c>
      <c r="KI53" s="704">
        <v>52.356595440507199</v>
      </c>
      <c r="KJ53" s="173">
        <v>149.71777474779799</v>
      </c>
      <c r="KK53" s="703">
        <v>6.1283091997379104</v>
      </c>
      <c r="KL53" s="704">
        <v>0</v>
      </c>
      <c r="KM53" s="704">
        <v>35.873187701465802</v>
      </c>
      <c r="KN53" s="704">
        <v>29.831684877264301</v>
      </c>
      <c r="KO53" s="704">
        <v>0</v>
      </c>
      <c r="KP53" s="173">
        <v>0</v>
      </c>
      <c r="KQ53" s="703">
        <v>9.1819352482721506</v>
      </c>
      <c r="KR53" s="704">
        <v>6.2417646398343001</v>
      </c>
      <c r="KS53" s="704">
        <v>410.55595674791101</v>
      </c>
      <c r="KT53" s="704">
        <v>393.34533203298002</v>
      </c>
      <c r="KU53" s="704">
        <v>52.356595440507199</v>
      </c>
      <c r="KV53" s="173">
        <v>149.71777474779799</v>
      </c>
      <c r="KW53" s="429"/>
      <c r="KX53" s="563" t="s">
        <v>575</v>
      </c>
      <c r="KY53" s="172">
        <f t="shared" si="35"/>
        <v>224.13074700000016</v>
      </c>
      <c r="KZ53" s="337">
        <v>693.24254599999995</v>
      </c>
      <c r="LA53" s="173">
        <v>127.471824</v>
      </c>
      <c r="LB53" s="172">
        <f t="shared" si="36"/>
        <v>372.66599352445178</v>
      </c>
      <c r="LC53" s="704">
        <v>522.79707413174606</v>
      </c>
      <c r="LD53" s="173">
        <v>126.44755092714315</v>
      </c>
      <c r="LE53" s="172">
        <f t="shared" si="37"/>
        <v>321.44948401709394</v>
      </c>
      <c r="LF53" s="1138">
        <v>577.14805260704804</v>
      </c>
      <c r="LG53" s="1139">
        <v>122.80182223315801</v>
      </c>
      <c r="LH53" s="426"/>
      <c r="LI53" s="563" t="s">
        <v>575</v>
      </c>
      <c r="LJ53" s="172">
        <v>1046.3954100000001</v>
      </c>
      <c r="LK53" s="337">
        <v>916.69499499999995</v>
      </c>
      <c r="LL53" s="337">
        <v>129.70041399999999</v>
      </c>
      <c r="LM53" s="337">
        <v>114.273426</v>
      </c>
      <c r="LN53" s="337">
        <v>71.947363999999993</v>
      </c>
      <c r="LO53" s="173">
        <v>83.301066000000006</v>
      </c>
      <c r="LP53" s="703">
        <v>801.73541643809403</v>
      </c>
      <c r="LQ53" s="704">
        <v>692.67943779658538</v>
      </c>
      <c r="LR53" s="704">
        <v>109.05597864150864</v>
      </c>
      <c r="LS53" s="704">
        <v>89.787266246602812</v>
      </c>
      <c r="LT53" s="704">
        <v>92.218396610737301</v>
      </c>
      <c r="LU53" s="173">
        <v>62.784944841588867</v>
      </c>
      <c r="LV53" s="1137">
        <v>772.91871605992799</v>
      </c>
      <c r="LW53" s="1138">
        <v>662.35388476372998</v>
      </c>
      <c r="LX53" s="1138">
        <v>110.564831296197</v>
      </c>
      <c r="LY53" s="1138">
        <v>84.991641933401496</v>
      </c>
      <c r="LZ53" s="1138">
        <v>85.268645494783897</v>
      </c>
      <c r="MA53" s="1139">
        <v>68.906360674861503</v>
      </c>
      <c r="MC53" s="563" t="s">
        <v>575</v>
      </c>
      <c r="MD53" s="172">
        <v>0</v>
      </c>
      <c r="ME53" s="337">
        <v>8.3717310000000005</v>
      </c>
      <c r="MF53" s="337">
        <v>18.519666999999998</v>
      </c>
      <c r="MG53" s="337">
        <v>187.391909</v>
      </c>
      <c r="MH53" s="337">
        <v>333.93026800000001</v>
      </c>
      <c r="MI53" s="173">
        <v>368.48142100000001</v>
      </c>
      <c r="MJ53" s="703">
        <v>0</v>
      </c>
      <c r="MK53" s="704">
        <v>15.772490625101264</v>
      </c>
      <c r="ML53" s="704">
        <v>23.845768592517519</v>
      </c>
      <c r="MM53" s="704">
        <v>134.67363052083553</v>
      </c>
      <c r="MN53" s="704">
        <v>288.15147116421082</v>
      </c>
      <c r="MO53" s="173">
        <v>230.23607689392023</v>
      </c>
      <c r="MP53" s="1137">
        <v>0</v>
      </c>
      <c r="MQ53" s="1138">
        <v>14.2135374906139</v>
      </c>
      <c r="MR53" s="1138">
        <v>28.651051348689698</v>
      </c>
      <c r="MS53" s="1138">
        <v>140.00757929419601</v>
      </c>
      <c r="MT53" s="1138">
        <v>285.10535644862102</v>
      </c>
      <c r="MU53" s="1139">
        <v>194.37636018161001</v>
      </c>
      <c r="MW53" s="563" t="s">
        <v>575</v>
      </c>
      <c r="MX53" s="172">
        <v>920.46523999999999</v>
      </c>
      <c r="MY53" s="337">
        <v>897.82379700000001</v>
      </c>
      <c r="MZ53" s="337">
        <v>22.641444</v>
      </c>
      <c r="NA53" s="703">
        <v>698.82232221443326</v>
      </c>
      <c r="NB53" s="704">
        <v>652.73031558109176</v>
      </c>
      <c r="NC53" s="173">
        <v>46.09200663334147</v>
      </c>
      <c r="ND53" s="1137">
        <v>678.01767970413005</v>
      </c>
      <c r="NE53" s="1138">
        <v>653.585510272698</v>
      </c>
      <c r="NF53" s="1139">
        <v>24.432169431432499</v>
      </c>
      <c r="NH53" s="563" t="s">
        <v>575</v>
      </c>
      <c r="NI53" s="703">
        <v>532.18619663296397</v>
      </c>
      <c r="NJ53" s="173">
        <v>120.54411894812779</v>
      </c>
      <c r="NK53" s="703">
        <v>38.260163960215863</v>
      </c>
      <c r="NL53" s="704">
        <v>7.8318426731256121</v>
      </c>
      <c r="NM53" s="173">
        <v>0</v>
      </c>
      <c r="NN53" s="1137">
        <v>556.06251256406199</v>
      </c>
      <c r="NO53" s="1139">
        <v>97.522997708635486</v>
      </c>
      <c r="NP53" s="1137">
        <v>20.4684863025489</v>
      </c>
      <c r="NQ53" s="1138">
        <v>3.9636831288836398</v>
      </c>
      <c r="NR53" s="1139">
        <v>0</v>
      </c>
      <c r="NS53" s="136"/>
      <c r="NT53" s="563" t="s">
        <v>575</v>
      </c>
      <c r="NU53" s="703">
        <v>86.787887134839892</v>
      </c>
      <c r="NV53" s="704">
        <v>7.9128575044689917</v>
      </c>
      <c r="NW53" s="704">
        <v>7.9102356101528422</v>
      </c>
      <c r="NX53" s="173">
        <v>17.933138698666077</v>
      </c>
      <c r="NY53" s="1137">
        <v>43.518669093843002</v>
      </c>
      <c r="NZ53" s="1138">
        <v>21.443677025821302</v>
      </c>
      <c r="OA53" s="1138">
        <v>2.9978163163420799</v>
      </c>
      <c r="OB53" s="1139">
        <v>29.562835272629101</v>
      </c>
      <c r="OC53" s="553"/>
      <c r="OD53" s="563" t="s">
        <v>575</v>
      </c>
      <c r="OE53" s="703">
        <v>32.002863150387803</v>
      </c>
      <c r="OF53" s="704">
        <v>39.163911530983199</v>
      </c>
      <c r="OG53" s="704">
        <v>24.383121920934599</v>
      </c>
      <c r="OH53" s="704">
        <v>40.775250310619299</v>
      </c>
      <c r="OI53" s="704">
        <v>74.096188782566401</v>
      </c>
      <c r="OJ53" s="704">
        <v>16.130250521397201</v>
      </c>
      <c r="OK53" s="173">
        <v>3.9768673009843498</v>
      </c>
      <c r="OL53" s="703">
        <v>55.964970964698402</v>
      </c>
      <c r="OM53" s="704">
        <v>43.238595697571903</v>
      </c>
      <c r="ON53" s="704">
        <v>25.383122936319602</v>
      </c>
      <c r="OO53" s="704">
        <v>43.828876359153497</v>
      </c>
      <c r="OP53" s="704">
        <v>201.18591900290599</v>
      </c>
      <c r="OQ53" s="704">
        <v>95.543862603276295</v>
      </c>
      <c r="OR53" s="173">
        <v>1116.7819577141599</v>
      </c>
      <c r="OT53" s="563" t="s">
        <v>575</v>
      </c>
      <c r="OU53" s="172">
        <v>495.73984899999999</v>
      </c>
      <c r="OV53" s="337">
        <v>434.970553</v>
      </c>
      <c r="OW53" s="337">
        <v>257.37767100000002</v>
      </c>
      <c r="OX53" s="173">
        <v>182.191991</v>
      </c>
      <c r="OY53" s="703">
        <v>556.64527950560114</v>
      </c>
      <c r="OZ53" s="704">
        <v>412.13678103561233</v>
      </c>
      <c r="PA53" s="704">
        <v>192.62662815973005</v>
      </c>
      <c r="PB53" s="173">
        <v>158.94768076968816</v>
      </c>
      <c r="PC53" s="1137">
        <v>593.94686189352205</v>
      </c>
      <c r="PD53" s="1138">
        <v>371.78521203272101</v>
      </c>
      <c r="PE53" s="1138">
        <v>169.52795444375101</v>
      </c>
      <c r="PF53" s="1139">
        <v>187.10203039393471</v>
      </c>
      <c r="PH53" s="563" t="s">
        <v>575</v>
      </c>
      <c r="PI53" s="703">
        <v>227.05816133862271</v>
      </c>
      <c r="PJ53" s="704">
        <v>198.909159403704</v>
      </c>
      <c r="PK53" s="704">
        <v>75.806384913947994</v>
      </c>
      <c r="PL53" s="173">
        <v>66.866499097255698</v>
      </c>
      <c r="PM53" s="703">
        <v>366.88870055489906</v>
      </c>
      <c r="PN53" s="704">
        <v>172.87605262901701</v>
      </c>
      <c r="PO53" s="704">
        <v>93.721569529803205</v>
      </c>
      <c r="PP53" s="173">
        <v>120.235531296679</v>
      </c>
      <c r="PQ53" s="65"/>
      <c r="PR53" s="563" t="s">
        <v>575</v>
      </c>
      <c r="PS53" s="1038">
        <v>33.442649131375099</v>
      </c>
      <c r="PT53" s="1039">
        <v>40.935916839014503</v>
      </c>
      <c r="PU53" s="1039">
        <v>23.226988222713299</v>
      </c>
      <c r="PV53" s="1039">
        <v>18.514128900447499</v>
      </c>
      <c r="PW53" s="1039">
        <v>398.78388231110301</v>
      </c>
      <c r="PX53" s="1040">
        <v>163.114114299477</v>
      </c>
      <c r="PZ53" s="563" t="s">
        <v>575</v>
      </c>
      <c r="QA53" s="1038">
        <v>418.96827402367302</v>
      </c>
      <c r="QB53" s="1039">
        <v>259.04940568045703</v>
      </c>
      <c r="QC53" s="1039">
        <v>229.26301638988099</v>
      </c>
      <c r="QD53" s="1039">
        <v>10.5550209119875</v>
      </c>
      <c r="QE53" s="1039">
        <v>19.231368378588801</v>
      </c>
      <c r="QF53" s="1040">
        <v>0</v>
      </c>
    </row>
    <row r="54" spans="1:448" ht="13.5" customHeight="1">
      <c r="A54" s="593" t="s">
        <v>519</v>
      </c>
      <c r="B54" s="559" t="s">
        <v>576</v>
      </c>
      <c r="C54" s="1103">
        <v>1557.747243</v>
      </c>
      <c r="D54" s="690">
        <v>1607.1271583415446</v>
      </c>
      <c r="E54" s="691">
        <v>1534.66196716432</v>
      </c>
      <c r="F54" s="428"/>
      <c r="G54" s="563" t="s">
        <v>576</v>
      </c>
      <c r="H54" s="686">
        <f t="shared" si="5"/>
        <v>6.2610205246240724E-3</v>
      </c>
      <c r="I54" s="668">
        <f t="shared" si="6"/>
        <v>-9.1851705087142577E-3</v>
      </c>
      <c r="J54" s="612"/>
      <c r="K54" s="63"/>
      <c r="L54" s="559" t="s">
        <v>576</v>
      </c>
      <c r="M54" s="636">
        <v>29</v>
      </c>
      <c r="N54" s="637">
        <v>22</v>
      </c>
      <c r="O54" s="637">
        <v>19</v>
      </c>
      <c r="P54" s="637">
        <v>24</v>
      </c>
      <c r="Q54" s="637">
        <v>16</v>
      </c>
      <c r="R54" s="637">
        <v>27</v>
      </c>
      <c r="S54" s="637">
        <v>24</v>
      </c>
      <c r="T54" s="637">
        <v>32</v>
      </c>
      <c r="U54" s="1138">
        <v>30</v>
      </c>
      <c r="V54" s="1138">
        <v>25</v>
      </c>
      <c r="W54" s="1139">
        <v>29</v>
      </c>
      <c r="X54" s="563" t="s">
        <v>576</v>
      </c>
      <c r="Y54" s="666">
        <v>25.5</v>
      </c>
      <c r="Z54" s="667">
        <v>21.5</v>
      </c>
      <c r="AA54" s="667">
        <v>21.5</v>
      </c>
      <c r="AB54" s="667">
        <v>28</v>
      </c>
      <c r="AC54" s="667">
        <v>28</v>
      </c>
      <c r="AD54" s="668">
        <v>-0.15686274509803921</v>
      </c>
      <c r="AE54" s="668">
        <v>0</v>
      </c>
      <c r="AF54" s="668">
        <v>0.30232558139534882</v>
      </c>
      <c r="AG54" s="1213">
        <v>0</v>
      </c>
      <c r="AN54" s="563" t="s">
        <v>576</v>
      </c>
      <c r="AO54" s="636">
        <v>0</v>
      </c>
      <c r="AP54" s="637">
        <v>10.468382</v>
      </c>
      <c r="AQ54" s="637">
        <v>10.468382</v>
      </c>
      <c r="AR54" s="637">
        <v>89.763548999999998</v>
      </c>
      <c r="AS54" s="637">
        <v>309.50417499999998</v>
      </c>
      <c r="AT54" s="637">
        <v>380.31083999999998</v>
      </c>
      <c r="AU54" s="637">
        <v>245.34398300000001</v>
      </c>
      <c r="AV54" s="173">
        <v>236.947709</v>
      </c>
      <c r="AW54" s="636">
        <v>0</v>
      </c>
      <c r="AX54" s="637">
        <v>13.565099649616871</v>
      </c>
      <c r="AY54" s="637">
        <v>13.450089630138059</v>
      </c>
      <c r="AZ54" s="637">
        <v>58.827079508461694</v>
      </c>
      <c r="BA54" s="637">
        <v>330.42325634152405</v>
      </c>
      <c r="BB54" s="637">
        <v>417.31505534355</v>
      </c>
      <c r="BC54" s="637">
        <v>225.37200585620985</v>
      </c>
      <c r="BD54" s="173">
        <v>210.6517922490541</v>
      </c>
      <c r="BE54" s="1137">
        <v>0</v>
      </c>
      <c r="BF54" s="1138">
        <v>25.1083544597704</v>
      </c>
      <c r="BG54" s="1138">
        <v>16.011153100717699</v>
      </c>
      <c r="BH54" s="1138">
        <v>50.319183423258103</v>
      </c>
      <c r="BI54" s="1138">
        <v>254.254867420035</v>
      </c>
      <c r="BJ54" s="1138">
        <v>334.95043275515002</v>
      </c>
      <c r="BK54" s="1138">
        <v>254.892745817801</v>
      </c>
      <c r="BL54" s="1139">
        <v>305.90679302570499</v>
      </c>
      <c r="BN54" s="563" t="s">
        <v>576</v>
      </c>
      <c r="BO54" s="647">
        <v>274.940225</v>
      </c>
      <c r="BP54" s="648">
        <v>347.01806900000003</v>
      </c>
      <c r="BQ54" s="648">
        <v>341.43666899999999</v>
      </c>
      <c r="BR54" s="648">
        <v>335.73066399999999</v>
      </c>
      <c r="BS54" s="648">
        <v>199.645208</v>
      </c>
      <c r="BT54" s="173">
        <v>58.976407999999999</v>
      </c>
      <c r="BU54" s="647">
        <v>337.52277976298984</v>
      </c>
      <c r="BV54" s="648">
        <v>352.37070595787281</v>
      </c>
      <c r="BW54" s="648">
        <v>298.19049296428102</v>
      </c>
      <c r="BX54" s="648">
        <v>345.98033901257082</v>
      </c>
      <c r="BY54" s="648">
        <v>181.58766854038399</v>
      </c>
      <c r="BZ54" s="173">
        <v>91.475172103445985</v>
      </c>
      <c r="CA54" s="1137">
        <v>293.21843716188602</v>
      </c>
      <c r="CB54" s="1138">
        <v>311.40459058846301</v>
      </c>
      <c r="CC54" s="1138">
        <v>257.43570328241299</v>
      </c>
      <c r="CD54" s="1138">
        <v>335.36346800452799</v>
      </c>
      <c r="CE54" s="1138">
        <v>246.453444019399</v>
      </c>
      <c r="CF54" s="1139">
        <v>90.786324107634698</v>
      </c>
      <c r="CG54" s="429"/>
      <c r="CH54" s="563" t="s">
        <v>576</v>
      </c>
      <c r="CI54" s="172">
        <v>375.316351</v>
      </c>
      <c r="CJ54" s="337">
        <v>1024.7261289999999</v>
      </c>
      <c r="CK54" s="337">
        <v>157.70476300000001</v>
      </c>
      <c r="CL54" s="647">
        <v>454.52014605925308</v>
      </c>
      <c r="CM54" s="648">
        <v>960.83106717336284</v>
      </c>
      <c r="CN54" s="648">
        <v>191.77594510892868</v>
      </c>
      <c r="CO54" s="1137">
        <v>393.55601006029599</v>
      </c>
      <c r="CP54" s="1138">
        <v>929.72155030926001</v>
      </c>
      <c r="CQ54" s="1139">
        <v>211.38440679476699</v>
      </c>
      <c r="CR54" s="429"/>
      <c r="DB54" s="426"/>
      <c r="DC54" s="426"/>
      <c r="DD54" s="426"/>
      <c r="DE54" s="426"/>
      <c r="DG54" s="563" t="s">
        <v>576</v>
      </c>
      <c r="DH54" s="1147" t="s">
        <v>746</v>
      </c>
      <c r="DI54" s="1150" t="s">
        <v>746</v>
      </c>
      <c r="DJ54" s="704" t="s">
        <v>969</v>
      </c>
      <c r="DK54" s="704" t="s">
        <v>823</v>
      </c>
      <c r="DL54" s="337" t="s">
        <v>970</v>
      </c>
      <c r="DM54" s="174" t="s">
        <v>971</v>
      </c>
      <c r="DO54" s="559" t="s">
        <v>576</v>
      </c>
      <c r="DP54" s="704">
        <v>792.54654700000003</v>
      </c>
      <c r="DQ54" s="337">
        <v>782.66334269439483</v>
      </c>
      <c r="DR54" s="1139">
        <v>778.39351769142797</v>
      </c>
      <c r="DS54" s="63"/>
      <c r="DT54" s="563" t="s">
        <v>576</v>
      </c>
      <c r="DU54" s="172">
        <v>1557.747243</v>
      </c>
      <c r="DV54" s="337">
        <v>1607.1271583415446</v>
      </c>
      <c r="DW54" s="1139">
        <v>1534.66196716432</v>
      </c>
      <c r="DX54" s="63"/>
      <c r="DY54" s="563" t="s">
        <v>576</v>
      </c>
      <c r="DZ54" s="1089">
        <f t="shared" si="32"/>
        <v>1.9654962208800084</v>
      </c>
      <c r="EA54" s="787">
        <f t="shared" si="33"/>
        <v>2.0534079861321377</v>
      </c>
      <c r="EB54" s="776">
        <f t="shared" si="34"/>
        <v>1.9715759860331894</v>
      </c>
      <c r="ED54" s="541"/>
      <c r="EE54" s="563" t="s">
        <v>576</v>
      </c>
      <c r="EF54" s="735">
        <v>343.89797299999998</v>
      </c>
      <c r="EG54" s="736">
        <v>24.722242999999999</v>
      </c>
      <c r="EH54" s="736">
        <v>148.78154499999999</v>
      </c>
      <c r="EI54" s="736">
        <v>130.311037</v>
      </c>
      <c r="EJ54" s="736">
        <v>144.83375000000001</v>
      </c>
      <c r="EK54" s="703">
        <v>328.835846815774</v>
      </c>
      <c r="EL54" s="704">
        <v>0</v>
      </c>
      <c r="EM54" s="704">
        <v>146.5168446888091</v>
      </c>
      <c r="EN54" s="704">
        <v>130.56718179452758</v>
      </c>
      <c r="EO54" s="704">
        <v>176.74346939528414</v>
      </c>
      <c r="EP54" s="1137">
        <v>369.36799658282598</v>
      </c>
      <c r="EQ54" s="1138">
        <v>7.2338050644242697</v>
      </c>
      <c r="ER54" s="1138">
        <v>141.37799196071001</v>
      </c>
      <c r="ES54" s="1138">
        <v>106.400993035261</v>
      </c>
      <c r="ET54" s="1139">
        <v>154.012731048207</v>
      </c>
      <c r="EV54" s="563" t="s">
        <v>576</v>
      </c>
      <c r="EW54" s="703">
        <v>17.282502000000001</v>
      </c>
      <c r="EX54" s="704">
        <v>215.75324699999999</v>
      </c>
      <c r="EY54" s="704">
        <v>89.627994000000001</v>
      </c>
      <c r="EZ54" s="704">
        <v>21.23423</v>
      </c>
      <c r="FA54" s="703">
        <v>214.84748099999999</v>
      </c>
      <c r="FB54" s="704">
        <v>713.12530000000004</v>
      </c>
      <c r="FC54" s="704">
        <v>327.02299199999999</v>
      </c>
      <c r="FD54" s="704">
        <v>27.811246000000001</v>
      </c>
      <c r="FE54" s="703">
        <v>16.885196522464462</v>
      </c>
      <c r="FF54" s="704">
        <v>169.35480192036442</v>
      </c>
      <c r="FG54" s="704">
        <v>108.61492607789557</v>
      </c>
      <c r="FH54" s="173">
        <v>33.98092229504951</v>
      </c>
      <c r="FI54" s="703">
        <v>220.11925009121677</v>
      </c>
      <c r="FJ54" s="704">
        <v>688.12290192499358</v>
      </c>
      <c r="FK54" s="746">
        <v>320.55304175067698</v>
      </c>
      <c r="FL54" s="747">
        <v>40.80918481166723</v>
      </c>
      <c r="FM54" s="1137">
        <v>15.0641724535229</v>
      </c>
      <c r="FN54" s="1138">
        <v>140.44913608621599</v>
      </c>
      <c r="FO54" s="1138">
        <v>192.09406501114401</v>
      </c>
      <c r="FP54" s="1139">
        <v>21.7606230319434</v>
      </c>
      <c r="FQ54" s="1137">
        <v>207.92197084398799</v>
      </c>
      <c r="FR54" s="1138">
        <v>573.16279795443995</v>
      </c>
      <c r="FS54" s="1138">
        <v>409.01932723303202</v>
      </c>
      <c r="FT54" s="1139">
        <v>51.3394339709767</v>
      </c>
      <c r="FV54" s="559" t="s">
        <v>576</v>
      </c>
      <c r="FW54" s="337">
        <v>169.05004199999999</v>
      </c>
      <c r="FX54" s="337">
        <v>134.71885800000001</v>
      </c>
      <c r="FY54" s="337">
        <v>92.739045000000004</v>
      </c>
      <c r="FZ54" s="173">
        <v>27.418386999999999</v>
      </c>
      <c r="GA54" s="703">
        <v>166.76643247900469</v>
      </c>
      <c r="GB54" s="704">
        <v>149.65309702349398</v>
      </c>
      <c r="GC54" s="704">
        <v>82.531312386582727</v>
      </c>
      <c r="GD54" s="173">
        <v>54.876653989539435</v>
      </c>
      <c r="GE54" s="1137">
        <v>173.97959350631001</v>
      </c>
      <c r="GF54" s="1138">
        <v>107.431978927119</v>
      </c>
      <c r="GG54" s="1138">
        <v>60.533826356250501</v>
      </c>
      <c r="GH54" s="1139">
        <v>63.472544969971686</v>
      </c>
      <c r="GJ54" s="563" t="s">
        <v>576</v>
      </c>
      <c r="GK54" s="703">
        <v>812.99903300000005</v>
      </c>
      <c r="GL54" s="704">
        <v>816.49938833815531</v>
      </c>
      <c r="GM54" s="1139">
        <v>819.00079036831403</v>
      </c>
      <c r="GO54" s="563" t="s">
        <v>576</v>
      </c>
      <c r="GP54" s="703">
        <v>792.54654700000003</v>
      </c>
      <c r="GQ54" s="704">
        <v>0</v>
      </c>
      <c r="GR54" s="173">
        <v>20.452486</v>
      </c>
      <c r="GS54" s="703">
        <v>782.66334269439483</v>
      </c>
      <c r="GT54" s="704">
        <v>0</v>
      </c>
      <c r="GU54" s="173">
        <v>33.836045643760443</v>
      </c>
      <c r="GV54" s="1137">
        <v>778.39351769142797</v>
      </c>
      <c r="GW54" s="1138">
        <v>3.64184016204754</v>
      </c>
      <c r="GX54" s="1139">
        <v>36.965432514837801</v>
      </c>
      <c r="GZ54" s="563" t="s">
        <v>576</v>
      </c>
      <c r="HA54" s="703">
        <v>10.143106</v>
      </c>
      <c r="HB54" s="704">
        <v>799.28983700000003</v>
      </c>
      <c r="HC54" s="173">
        <f t="shared" si="7"/>
        <v>3.5660900000000311</v>
      </c>
      <c r="HD54" s="703">
        <v>18.81190953492392</v>
      </c>
      <c r="HE54" s="704">
        <v>787.42410939428726</v>
      </c>
      <c r="HF54" s="173">
        <f t="shared" si="8"/>
        <v>10.263369408944186</v>
      </c>
      <c r="HG54" s="583">
        <v>17.366443943865601</v>
      </c>
      <c r="HH54" s="1138">
        <v>794.66336170829902</v>
      </c>
      <c r="HI54" s="173">
        <f t="shared" si="9"/>
        <v>6.9709847161493599</v>
      </c>
      <c r="HK54" s="563" t="s">
        <v>576</v>
      </c>
      <c r="HL54" s="704">
        <v>792.54654700000003</v>
      </c>
      <c r="HM54" s="704">
        <v>2434.0545379999999</v>
      </c>
      <c r="HN54" s="776">
        <f t="shared" si="10"/>
        <v>3.0711818090855929</v>
      </c>
      <c r="HO54" s="703">
        <v>782.66334269439483</v>
      </c>
      <c r="HP54" s="704">
        <v>2550.9034812521131</v>
      </c>
      <c r="HQ54" s="776">
        <f t="shared" si="11"/>
        <v>3.259260197967595</v>
      </c>
      <c r="HR54" s="1138">
        <v>778.39351769142797</v>
      </c>
      <c r="HS54" s="1138">
        <v>2565.97697772626</v>
      </c>
      <c r="HT54" s="784">
        <f t="shared" si="12"/>
        <v>3.2965035286219697</v>
      </c>
      <c r="HV54" s="563" t="s">
        <v>576</v>
      </c>
      <c r="HW54" s="172">
        <v>10.143106</v>
      </c>
      <c r="HX54" s="337">
        <v>56.931840000000001</v>
      </c>
      <c r="HY54" s="787">
        <f t="shared" si="13"/>
        <v>5.6128605971385888</v>
      </c>
      <c r="HZ54" s="704">
        <v>778.83735100000001</v>
      </c>
      <c r="IA54" s="704">
        <v>2369.9905180000001</v>
      </c>
      <c r="IB54" s="787">
        <f t="shared" si="14"/>
        <v>3.0429851816390352</v>
      </c>
      <c r="IC54" s="703">
        <v>18.81190953492392</v>
      </c>
      <c r="ID54" s="704">
        <v>79.461272676701967</v>
      </c>
      <c r="IE54" s="787">
        <f t="shared" si="15"/>
        <v>4.2239876036605297</v>
      </c>
      <c r="IF54" s="704">
        <v>753.58806375052677</v>
      </c>
      <c r="IG54" s="704">
        <v>2437.2066385767407</v>
      </c>
      <c r="IH54" s="776">
        <f t="shared" si="16"/>
        <v>3.2341364676704476</v>
      </c>
      <c r="II54" s="1137">
        <v>17.366443943865601</v>
      </c>
      <c r="IJ54" s="1138">
        <v>77.218160066027096</v>
      </c>
      <c r="IK54" s="1170">
        <f t="shared" si="17"/>
        <v>4.446400213862038</v>
      </c>
      <c r="IL54" s="1138">
        <v>754.05608903141297</v>
      </c>
      <c r="IM54" s="1138">
        <v>2467.84586351178</v>
      </c>
      <c r="IN54" s="1171">
        <f t="shared" si="18"/>
        <v>3.2727616677450806</v>
      </c>
      <c r="IP54" s="563" t="s">
        <v>576</v>
      </c>
      <c r="IQ54" s="172">
        <v>69.879630000000006</v>
      </c>
      <c r="IR54" s="704">
        <v>139.45129</v>
      </c>
      <c r="IS54" s="704">
        <v>320.43587100000002</v>
      </c>
      <c r="IT54" s="704">
        <v>214.08054999999999</v>
      </c>
      <c r="IU54" s="704">
        <v>48.699205999999997</v>
      </c>
      <c r="IV54" s="704">
        <v>2434.0545379999999</v>
      </c>
      <c r="IW54" s="703">
        <v>67.366080171793385</v>
      </c>
      <c r="IX54" s="704">
        <v>118.57497617253112</v>
      </c>
      <c r="IY54" s="704">
        <v>264.28749398857286</v>
      </c>
      <c r="IZ54" s="704">
        <v>252.80520010721293</v>
      </c>
      <c r="JA54" s="704">
        <v>79.629592254284546</v>
      </c>
      <c r="JB54" s="173">
        <v>2550.9034812521131</v>
      </c>
      <c r="JC54" s="1137">
        <v>55.462056259939601</v>
      </c>
      <c r="JD54" s="1138">
        <v>136.85639976931299</v>
      </c>
      <c r="JE54" s="1138">
        <v>260.25489094970101</v>
      </c>
      <c r="JF54" s="1138">
        <v>222.61578434824801</v>
      </c>
      <c r="JG54" s="1138">
        <v>103.20438636422701</v>
      </c>
      <c r="JH54" s="1139">
        <v>2565.97697772626</v>
      </c>
      <c r="JJ54" s="563" t="s">
        <v>576</v>
      </c>
      <c r="JK54" s="172">
        <v>10.143106</v>
      </c>
      <c r="JL54" s="337">
        <v>28.267739000000006</v>
      </c>
      <c r="JM54" s="337">
        <v>754.13570200000004</v>
      </c>
      <c r="JN54" s="173">
        <v>0</v>
      </c>
      <c r="JO54" s="703">
        <v>17.769508025661999</v>
      </c>
      <c r="JP54" s="704">
        <v>31.521462037903461</v>
      </c>
      <c r="JQ54" s="704">
        <v>733.37237263082932</v>
      </c>
      <c r="JR54" s="173">
        <v>0</v>
      </c>
      <c r="JS54" s="1137">
        <v>2.0301607772516501</v>
      </c>
      <c r="JT54" s="1138">
        <v>51.251813323720967</v>
      </c>
      <c r="JU54" s="1138">
        <v>717.71841359599398</v>
      </c>
      <c r="JV54" s="1139">
        <v>7.3931299944619502</v>
      </c>
      <c r="JX54" s="563" t="s">
        <v>576</v>
      </c>
      <c r="JY54" s="703">
        <v>87.0422131213966</v>
      </c>
      <c r="JZ54" s="704">
        <v>127.27584240143</v>
      </c>
      <c r="KA54" s="704">
        <v>136.15391762727401</v>
      </c>
      <c r="KB54" s="173">
        <v>427.92154454132702</v>
      </c>
      <c r="KC54" s="603"/>
      <c r="KD54" s="563" t="s">
        <v>576</v>
      </c>
      <c r="KE54" s="703">
        <v>3.7669022789898801</v>
      </c>
      <c r="KF54" s="704">
        <v>10.8693579631563</v>
      </c>
      <c r="KG54" s="704">
        <v>475.581896600601</v>
      </c>
      <c r="KH54" s="704">
        <v>230.917276883271</v>
      </c>
      <c r="KI54" s="704">
        <v>25.5119091664879</v>
      </c>
      <c r="KJ54" s="173">
        <v>7.4087461389073601</v>
      </c>
      <c r="KK54" s="703">
        <v>0</v>
      </c>
      <c r="KL54" s="704">
        <v>0</v>
      </c>
      <c r="KM54" s="704">
        <v>3.6262277154720599</v>
      </c>
      <c r="KN54" s="704">
        <v>0</v>
      </c>
      <c r="KO54" s="704">
        <v>3.25764823610925</v>
      </c>
      <c r="KP54" s="173">
        <v>10.4825679922843</v>
      </c>
      <c r="KQ54" s="703">
        <v>3.7669022789898801</v>
      </c>
      <c r="KR54" s="704">
        <v>14.4955856786283</v>
      </c>
      <c r="KS54" s="704">
        <v>482.55288131675098</v>
      </c>
      <c r="KT54" s="704">
        <v>230.917276883271</v>
      </c>
      <c r="KU54" s="704">
        <v>28.769557402597101</v>
      </c>
      <c r="KV54" s="173">
        <v>17.891314131191599</v>
      </c>
      <c r="KW54" s="429"/>
      <c r="KX54" s="563" t="s">
        <v>576</v>
      </c>
      <c r="KY54" s="172">
        <f t="shared" si="35"/>
        <v>304.43981400000001</v>
      </c>
      <c r="KZ54" s="337">
        <v>409.214923</v>
      </c>
      <c r="LA54" s="173">
        <v>78.891810000000007</v>
      </c>
      <c r="LB54" s="172">
        <f t="shared" si="36"/>
        <v>348.73653404865519</v>
      </c>
      <c r="LC54" s="704">
        <v>322.95271770871705</v>
      </c>
      <c r="LD54" s="173">
        <v>110.97409093702258</v>
      </c>
      <c r="LE54" s="172">
        <f t="shared" si="37"/>
        <v>308.87773145724998</v>
      </c>
      <c r="LF54" s="1138">
        <v>365.625057274825</v>
      </c>
      <c r="LG54" s="1139">
        <v>103.890728959353</v>
      </c>
      <c r="LH54" s="426"/>
      <c r="LI54" s="563" t="s">
        <v>576</v>
      </c>
      <c r="LJ54" s="172">
        <v>814.94593099999997</v>
      </c>
      <c r="LK54" s="337">
        <v>640.59279600000002</v>
      </c>
      <c r="LL54" s="337">
        <v>174.35313400000001</v>
      </c>
      <c r="LM54" s="337">
        <v>79.732485999999994</v>
      </c>
      <c r="LN54" s="337">
        <v>94.601872999999998</v>
      </c>
      <c r="LO54" s="173">
        <v>135.82196500000001</v>
      </c>
      <c r="LP54" s="703">
        <v>857.41017825040217</v>
      </c>
      <c r="LQ54" s="704">
        <v>564.94089828613085</v>
      </c>
      <c r="LR54" s="704">
        <v>292.46927996427138</v>
      </c>
      <c r="LS54" s="704">
        <v>92.293811895465836</v>
      </c>
      <c r="LT54" s="704">
        <v>50.562370618726312</v>
      </c>
      <c r="LU54" s="173">
        <v>77.562072705031667</v>
      </c>
      <c r="LV54" s="1137">
        <v>727.55435897659299</v>
      </c>
      <c r="LW54" s="1138">
        <v>498.81244486102202</v>
      </c>
      <c r="LX54" s="1138">
        <v>228.74191411557101</v>
      </c>
      <c r="LY54" s="1138">
        <v>74.603924883919504</v>
      </c>
      <c r="LZ54" s="1138">
        <v>57.851826247098202</v>
      </c>
      <c r="MA54" s="1139">
        <v>170.04901310005999</v>
      </c>
      <c r="MC54" s="563" t="s">
        <v>576</v>
      </c>
      <c r="MD54" s="172">
        <v>0</v>
      </c>
      <c r="ME54" s="337">
        <v>10.468382</v>
      </c>
      <c r="MF54" s="337">
        <v>0</v>
      </c>
      <c r="MG54" s="337">
        <v>61.715198999999998</v>
      </c>
      <c r="MH54" s="337">
        <v>243.274868</v>
      </c>
      <c r="MI54" s="173">
        <v>325.13434799999999</v>
      </c>
      <c r="MJ54" s="703">
        <v>0</v>
      </c>
      <c r="MK54" s="704">
        <v>10.14840223433904</v>
      </c>
      <c r="ML54" s="704">
        <v>6.6218271135203404</v>
      </c>
      <c r="MM54" s="704">
        <v>55.410382093183863</v>
      </c>
      <c r="MN54" s="704">
        <v>204.79183402333985</v>
      </c>
      <c r="MO54" s="173">
        <v>287.96845282174775</v>
      </c>
      <c r="MP54" s="1137">
        <v>0</v>
      </c>
      <c r="MQ54" s="1138">
        <v>21.901297595461202</v>
      </c>
      <c r="MR54" s="1138">
        <v>12.2442508217278</v>
      </c>
      <c r="MS54" s="1138">
        <v>43.370842417388602</v>
      </c>
      <c r="MT54" s="1138">
        <v>182.59486636477899</v>
      </c>
      <c r="MU54" s="1139">
        <v>238.70118766166499</v>
      </c>
      <c r="MW54" s="563" t="s">
        <v>576</v>
      </c>
      <c r="MX54" s="172">
        <v>640.59279600000002</v>
      </c>
      <c r="MY54" s="337">
        <v>623.38115000000005</v>
      </c>
      <c r="MZ54" s="337">
        <v>17.211645999999998</v>
      </c>
      <c r="NA54" s="703">
        <v>568.32369903091046</v>
      </c>
      <c r="NB54" s="704">
        <v>558.09422629246455</v>
      </c>
      <c r="NC54" s="173">
        <v>10.22947273844597</v>
      </c>
      <c r="ND54" s="1137">
        <v>502.43867257649401</v>
      </c>
      <c r="NE54" s="1138">
        <v>480.537374981033</v>
      </c>
      <c r="NF54" s="1139">
        <v>21.901297595461202</v>
      </c>
      <c r="NH54" s="563" t="s">
        <v>576</v>
      </c>
      <c r="NI54" s="703">
        <v>428.12163735281842</v>
      </c>
      <c r="NJ54" s="173">
        <v>129.97258893964616</v>
      </c>
      <c r="NK54" s="703">
        <v>10.22947273844597</v>
      </c>
      <c r="NL54" s="704">
        <v>0</v>
      </c>
      <c r="NM54" s="173">
        <v>0</v>
      </c>
      <c r="NN54" s="1137">
        <v>380.69910024462399</v>
      </c>
      <c r="NO54" s="1139">
        <v>99.838274736408792</v>
      </c>
      <c r="NP54" s="1137">
        <v>18.259453735543801</v>
      </c>
      <c r="NQ54" s="1138">
        <v>3.6418438599174801</v>
      </c>
      <c r="NR54" s="1139">
        <v>0</v>
      </c>
      <c r="NS54" s="136"/>
      <c r="NT54" s="563" t="s">
        <v>576</v>
      </c>
      <c r="NU54" s="703">
        <v>91.741925406753282</v>
      </c>
      <c r="NV54" s="704">
        <v>13.527109132095511</v>
      </c>
      <c r="NW54" s="704">
        <v>6.7563753285982102</v>
      </c>
      <c r="NX54" s="173">
        <v>17.94717907219917</v>
      </c>
      <c r="NY54" s="1137">
        <v>60.099195404715097</v>
      </c>
      <c r="NZ54" s="1138">
        <v>28.326075921348199</v>
      </c>
      <c r="OA54" s="1138">
        <v>0</v>
      </c>
      <c r="OB54" s="1139">
        <v>11.4130034103455</v>
      </c>
      <c r="OC54" s="553"/>
      <c r="OD54" s="563" t="s">
        <v>576</v>
      </c>
      <c r="OE54" s="703">
        <v>67.583846236183206</v>
      </c>
      <c r="OF54" s="704">
        <v>84.205793639213795</v>
      </c>
      <c r="OG54" s="704">
        <v>73.254277246454507</v>
      </c>
      <c r="OH54" s="704">
        <v>42.455279627196703</v>
      </c>
      <c r="OI54" s="704">
        <v>40.422643751438201</v>
      </c>
      <c r="OJ54" s="704">
        <v>14.792550950109399</v>
      </c>
      <c r="OK54" s="173">
        <v>17.8197151927587</v>
      </c>
      <c r="OL54" s="703">
        <v>96.425317537229702</v>
      </c>
      <c r="OM54" s="704">
        <v>91.096084689388405</v>
      </c>
      <c r="ON54" s="704">
        <v>80.638082057656504</v>
      </c>
      <c r="OO54" s="704">
        <v>53.455986970610901</v>
      </c>
      <c r="OP54" s="704">
        <v>154.46598387337701</v>
      </c>
      <c r="OQ54" s="704">
        <v>103.482619744475</v>
      </c>
      <c r="OR54" s="173">
        <v>930.03893941397496</v>
      </c>
      <c r="OT54" s="563" t="s">
        <v>576</v>
      </c>
      <c r="OU54" s="172">
        <v>608.50246699999991</v>
      </c>
      <c r="OV54" s="337">
        <v>369.39689800000002</v>
      </c>
      <c r="OW54" s="337">
        <v>121.904499</v>
      </c>
      <c r="OX54" s="173">
        <v>58.749797999999998</v>
      </c>
      <c r="OY54" s="703">
        <v>602.38409253991517</v>
      </c>
      <c r="OZ54" s="704">
        <v>346.31694240607493</v>
      </c>
      <c r="PA54" s="704">
        <v>115.80964522712134</v>
      </c>
      <c r="PB54" s="173">
        <v>74.662858391042036</v>
      </c>
      <c r="PC54" s="1137">
        <v>527.08162428009359</v>
      </c>
      <c r="PD54" s="1138">
        <v>403.289662036999</v>
      </c>
      <c r="PE54" s="1138">
        <v>108.49647264017599</v>
      </c>
      <c r="PF54" s="1139">
        <v>87.085581523666605</v>
      </c>
      <c r="PH54" s="563" t="s">
        <v>576</v>
      </c>
      <c r="PI54" s="703">
        <v>222.42609960959518</v>
      </c>
      <c r="PJ54" s="704">
        <v>185.294656765745</v>
      </c>
      <c r="PK54" s="704">
        <v>39.6453304643466</v>
      </c>
      <c r="PL54" s="173">
        <v>37.061930971202649</v>
      </c>
      <c r="PM54" s="703">
        <v>304.65552467049838</v>
      </c>
      <c r="PN54" s="704">
        <v>217.99500527125301</v>
      </c>
      <c r="PO54" s="704">
        <v>68.851142175828997</v>
      </c>
      <c r="PP54" s="173">
        <v>50.023650552463899</v>
      </c>
      <c r="PQ54" s="65"/>
      <c r="PR54" s="563" t="s">
        <v>576</v>
      </c>
      <c r="PS54" s="1038">
        <v>1.0686024038305999</v>
      </c>
      <c r="PT54" s="1039">
        <v>35.593640936526199</v>
      </c>
      <c r="PU54" s="1039">
        <v>11.0256486711195</v>
      </c>
      <c r="PV54" s="1039">
        <v>10.860032779896301</v>
      </c>
      <c r="PW54" s="1039">
        <v>260.81269122354303</v>
      </c>
      <c r="PX54" s="1040">
        <v>183.07805656157899</v>
      </c>
      <c r="PZ54" s="563" t="s">
        <v>576</v>
      </c>
      <c r="QA54" s="1038">
        <v>321.79480422400098</v>
      </c>
      <c r="QB54" s="1039">
        <v>180.643868352493</v>
      </c>
      <c r="QC54" s="1039">
        <v>165.98266678264201</v>
      </c>
      <c r="QD54" s="1039">
        <v>3.7669022789898801</v>
      </c>
      <c r="QE54" s="1039">
        <v>10.8942992908616</v>
      </c>
      <c r="QF54" s="1040">
        <v>0</v>
      </c>
    </row>
    <row r="55" spans="1:448" ht="13.5" customHeight="1">
      <c r="A55" s="593" t="s">
        <v>520</v>
      </c>
      <c r="B55" s="559" t="s">
        <v>577</v>
      </c>
      <c r="C55" s="1103">
        <v>1977.9529649999999</v>
      </c>
      <c r="D55" s="690">
        <v>2726.016944741013</v>
      </c>
      <c r="E55" s="691">
        <v>3172.7310865296699</v>
      </c>
      <c r="F55" s="428"/>
      <c r="G55" s="563" t="s">
        <v>577</v>
      </c>
      <c r="H55" s="686">
        <f t="shared" si="5"/>
        <v>6.6258529236713937E-2</v>
      </c>
      <c r="I55" s="668">
        <f t="shared" si="6"/>
        <v>3.0815505463709369E-2</v>
      </c>
      <c r="J55" s="612"/>
      <c r="K55" s="63"/>
      <c r="L55" s="559" t="s">
        <v>577</v>
      </c>
      <c r="M55" s="636">
        <v>24</v>
      </c>
      <c r="N55" s="637">
        <v>25</v>
      </c>
      <c r="O55" s="637">
        <v>28</v>
      </c>
      <c r="P55" s="637">
        <v>42</v>
      </c>
      <c r="Q55" s="637">
        <v>29</v>
      </c>
      <c r="R55" s="637">
        <v>43</v>
      </c>
      <c r="S55" s="637">
        <v>27</v>
      </c>
      <c r="T55" s="637">
        <v>38</v>
      </c>
      <c r="U55" s="1138">
        <v>40</v>
      </c>
      <c r="V55" s="1138">
        <v>40</v>
      </c>
      <c r="W55" s="1139">
        <v>27</v>
      </c>
      <c r="X55" s="563" t="s">
        <v>577</v>
      </c>
      <c r="Y55" s="666">
        <v>24.5</v>
      </c>
      <c r="Z55" s="667">
        <v>35</v>
      </c>
      <c r="AA55" s="667">
        <v>36</v>
      </c>
      <c r="AB55" s="667">
        <v>32.5</v>
      </c>
      <c r="AC55" s="667">
        <v>32.5</v>
      </c>
      <c r="AD55" s="668">
        <v>0.42857142857142855</v>
      </c>
      <c r="AE55" s="668">
        <v>2.8571428571428571E-2</v>
      </c>
      <c r="AF55" s="668">
        <v>-9.7222222222222224E-2</v>
      </c>
      <c r="AG55" s="1213">
        <v>2.8571428571428571E-2</v>
      </c>
      <c r="AN55" s="563" t="s">
        <v>577</v>
      </c>
      <c r="AO55" s="636">
        <v>0</v>
      </c>
      <c r="AP55" s="637">
        <v>28.469778999999999</v>
      </c>
      <c r="AQ55" s="637">
        <v>54.621679999999998</v>
      </c>
      <c r="AR55" s="637">
        <v>222.565226</v>
      </c>
      <c r="AS55" s="637">
        <v>339.75265999999999</v>
      </c>
      <c r="AT55" s="637">
        <v>203.02886899999999</v>
      </c>
      <c r="AU55" s="637">
        <v>780.63379599999996</v>
      </c>
      <c r="AV55" s="173">
        <v>178.62786600000001</v>
      </c>
      <c r="AW55" s="636">
        <v>0</v>
      </c>
      <c r="AX55" s="637">
        <v>29.430830617552839</v>
      </c>
      <c r="AY55" s="637">
        <v>160.40144100530736</v>
      </c>
      <c r="AZ55" s="637">
        <v>389.50343163399663</v>
      </c>
      <c r="BA55" s="637">
        <v>426.28231155342138</v>
      </c>
      <c r="BB55" s="637">
        <v>281.88102272952318</v>
      </c>
      <c r="BC55" s="637">
        <v>798.35164498315464</v>
      </c>
      <c r="BD55" s="173">
        <v>222.57168273189089</v>
      </c>
      <c r="BE55" s="1137">
        <v>0</v>
      </c>
      <c r="BF55" s="1138">
        <v>45.292241672632699</v>
      </c>
      <c r="BG55" s="1138">
        <v>216.08561689343301</v>
      </c>
      <c r="BH55" s="1138">
        <v>518.92032982820297</v>
      </c>
      <c r="BI55" s="1138">
        <v>669.42606405509298</v>
      </c>
      <c r="BJ55" s="1138">
        <v>360.01294187575701</v>
      </c>
      <c r="BK55" s="1138">
        <v>675.00440822932501</v>
      </c>
      <c r="BL55" s="1139">
        <v>270.99825671911799</v>
      </c>
      <c r="BN55" s="563" t="s">
        <v>577</v>
      </c>
      <c r="BO55" s="647">
        <v>170.25308799999999</v>
      </c>
      <c r="BP55" s="648">
        <v>392.83854300000002</v>
      </c>
      <c r="BQ55" s="648">
        <v>294.954793</v>
      </c>
      <c r="BR55" s="648">
        <v>312.63730099999998</v>
      </c>
      <c r="BS55" s="648">
        <v>484.86325799999997</v>
      </c>
      <c r="BT55" s="173">
        <v>322.405981</v>
      </c>
      <c r="BU55" s="647">
        <v>422.59457557860242</v>
      </c>
      <c r="BV55" s="648">
        <v>532.36895308067039</v>
      </c>
      <c r="BW55" s="648">
        <v>552.36092371285451</v>
      </c>
      <c r="BX55" s="648">
        <v>368.89376490432142</v>
      </c>
      <c r="BY55" s="648">
        <v>389.56956319194927</v>
      </c>
      <c r="BZ55" s="173">
        <v>460.22916427261509</v>
      </c>
      <c r="CA55" s="1137">
        <v>430.99124147149701</v>
      </c>
      <c r="CB55" s="1138">
        <v>785.07502761304397</v>
      </c>
      <c r="CC55" s="1138">
        <v>685.37496509074504</v>
      </c>
      <c r="CD55" s="1138">
        <v>505.21073925066901</v>
      </c>
      <c r="CE55" s="1138">
        <v>382.10825811122999</v>
      </c>
      <c r="CF55" s="1139">
        <v>383.97085499248402</v>
      </c>
      <c r="CG55" s="429"/>
      <c r="CH55" s="563" t="s">
        <v>577</v>
      </c>
      <c r="CI55" s="172">
        <v>308.57718999999997</v>
      </c>
      <c r="CJ55" s="337">
        <v>985.45099900000002</v>
      </c>
      <c r="CK55" s="337">
        <v>683.92477599999995</v>
      </c>
      <c r="CL55" s="647">
        <v>541.53477387628845</v>
      </c>
      <c r="CM55" s="648">
        <v>1466.2401975818043</v>
      </c>
      <c r="CN55" s="648">
        <v>718.24197328291996</v>
      </c>
      <c r="CO55" s="1137">
        <v>576.50611709285704</v>
      </c>
      <c r="CP55" s="1138">
        <v>1971.1000200728599</v>
      </c>
      <c r="CQ55" s="1139">
        <v>625.12494936395103</v>
      </c>
      <c r="CR55" s="429"/>
      <c r="DB55" s="426"/>
      <c r="DC55" s="426"/>
      <c r="DD55" s="426"/>
      <c r="DE55" s="426"/>
      <c r="DG55" s="563" t="s">
        <v>577</v>
      </c>
      <c r="DH55" s="1147" t="s">
        <v>766</v>
      </c>
      <c r="DI55" s="1150" t="s">
        <v>972</v>
      </c>
      <c r="DJ55" s="704" t="s">
        <v>973</v>
      </c>
      <c r="DK55" s="704" t="s">
        <v>974</v>
      </c>
      <c r="DL55" s="337" t="s">
        <v>975</v>
      </c>
      <c r="DM55" s="174" t="s">
        <v>971</v>
      </c>
      <c r="DO55" s="559" t="s">
        <v>577</v>
      </c>
      <c r="DP55" s="704">
        <v>1042.1287279999999</v>
      </c>
      <c r="DQ55" s="337">
        <v>1392.6389363239296</v>
      </c>
      <c r="DR55" s="1139">
        <v>1826.88598767187</v>
      </c>
      <c r="DS55" s="63"/>
      <c r="DT55" s="563" t="s">
        <v>577</v>
      </c>
      <c r="DU55" s="172">
        <v>1977.9529649999999</v>
      </c>
      <c r="DV55" s="337">
        <v>2734.0169384889109</v>
      </c>
      <c r="DW55" s="1139">
        <v>3190.7311048065999</v>
      </c>
      <c r="DX55" s="63"/>
      <c r="DY55" s="563" t="s">
        <v>577</v>
      </c>
      <c r="DZ55" s="1089">
        <f t="shared" si="32"/>
        <v>1.8979929368188382</v>
      </c>
      <c r="EA55" s="787">
        <f t="shared" si="33"/>
        <v>1.9631915115814162</v>
      </c>
      <c r="EB55" s="776">
        <f t="shared" si="34"/>
        <v>1.7465409042152511</v>
      </c>
      <c r="ED55" s="541"/>
      <c r="EE55" s="563" t="s">
        <v>577</v>
      </c>
      <c r="EF55" s="735">
        <v>394.42906299999999</v>
      </c>
      <c r="EG55" s="736">
        <v>19.313202</v>
      </c>
      <c r="EH55" s="736">
        <v>392.64083299999999</v>
      </c>
      <c r="EI55" s="736">
        <v>149.41618199999999</v>
      </c>
      <c r="EJ55" s="736">
        <v>86.329447999999999</v>
      </c>
      <c r="EK55" s="703">
        <v>581.07001502667185</v>
      </c>
      <c r="EL55" s="704">
        <v>17.04658705426694</v>
      </c>
      <c r="EM55" s="704">
        <v>417.59116922116414</v>
      </c>
      <c r="EN55" s="704">
        <v>273.20790539266807</v>
      </c>
      <c r="EO55" s="704">
        <v>103.72325962915858</v>
      </c>
      <c r="EP55" s="1137">
        <v>969.66874421640898</v>
      </c>
      <c r="EQ55" s="1138">
        <v>18.6658178008554</v>
      </c>
      <c r="ER55" s="1138">
        <v>400.23834997643098</v>
      </c>
      <c r="ES55" s="1138">
        <v>265.58615254263799</v>
      </c>
      <c r="ET55" s="1139">
        <v>172.72692313554199</v>
      </c>
      <c r="EV55" s="563" t="s">
        <v>577</v>
      </c>
      <c r="EW55" s="703">
        <v>49.825164999999998</v>
      </c>
      <c r="EX55" s="704">
        <v>116.536978</v>
      </c>
      <c r="EY55" s="704">
        <v>172.40466499999999</v>
      </c>
      <c r="EZ55" s="704">
        <v>55.662255000000002</v>
      </c>
      <c r="FA55" s="703">
        <v>276.40283299999999</v>
      </c>
      <c r="FB55" s="704">
        <v>621.05152399999997</v>
      </c>
      <c r="FC55" s="704">
        <v>758.65993800000001</v>
      </c>
      <c r="FD55" s="704">
        <v>151.58558199999999</v>
      </c>
      <c r="FE55" s="703">
        <v>79.109057282922393</v>
      </c>
      <c r="FF55" s="704">
        <v>202.47389731671055</v>
      </c>
      <c r="FG55" s="704">
        <v>202.45104378180864</v>
      </c>
      <c r="FH55" s="173">
        <v>99.036015082204699</v>
      </c>
      <c r="FI55" s="703">
        <v>296.72526416818226</v>
      </c>
      <c r="FJ55" s="704">
        <v>1049.9680406773807</v>
      </c>
      <c r="FK55" s="746">
        <v>694.33371900224461</v>
      </c>
      <c r="FL55" s="747">
        <v>262.39534531460311</v>
      </c>
      <c r="FM55" s="1137">
        <v>142.85002981697701</v>
      </c>
      <c r="FN55" s="1138">
        <v>413.07058346431199</v>
      </c>
      <c r="FO55" s="1138">
        <v>284.29645894211001</v>
      </c>
      <c r="FP55" s="1139">
        <v>129.45167199301099</v>
      </c>
      <c r="FQ55" s="1137">
        <v>427.866875142379</v>
      </c>
      <c r="FR55" s="1138">
        <v>1385.5457956417199</v>
      </c>
      <c r="FS55" s="1138">
        <v>661.01969458743201</v>
      </c>
      <c r="FT55" s="1139">
        <v>267.30747968663599</v>
      </c>
      <c r="FV55" s="559" t="s">
        <v>577</v>
      </c>
      <c r="FW55" s="337">
        <v>440.24426599999998</v>
      </c>
      <c r="FX55" s="337">
        <v>104.89210199999999</v>
      </c>
      <c r="FY55" s="337">
        <v>75.648554000000004</v>
      </c>
      <c r="FZ55" s="173">
        <v>11.606711000000001</v>
      </c>
      <c r="GA55" s="703">
        <v>450.77769728342628</v>
      </c>
      <c r="GB55" s="704">
        <v>166.40534555215746</v>
      </c>
      <c r="GC55" s="704">
        <v>138.55199757457711</v>
      </c>
      <c r="GD55" s="173">
        <v>38.787293832829945</v>
      </c>
      <c r="GE55" s="1137">
        <v>467.897744949615</v>
      </c>
      <c r="GF55" s="1138">
        <v>209.60592842568099</v>
      </c>
      <c r="GG55" s="1138">
        <v>104.484601141697</v>
      </c>
      <c r="GH55" s="1139">
        <v>56.563151137617439</v>
      </c>
      <c r="GJ55" s="563" t="s">
        <v>577</v>
      </c>
      <c r="GK55" s="703">
        <v>1133.498728</v>
      </c>
      <c r="GL55" s="704">
        <v>1501.9989116340901</v>
      </c>
      <c r="GM55" s="1139">
        <v>1988.50184788308</v>
      </c>
      <c r="GO55" s="563" t="s">
        <v>577</v>
      </c>
      <c r="GP55" s="703">
        <v>1042.1287279999999</v>
      </c>
      <c r="GQ55" s="704">
        <v>26.095931</v>
      </c>
      <c r="GR55" s="173">
        <v>65.274069999999995</v>
      </c>
      <c r="GS55" s="703">
        <v>1392.6389363239296</v>
      </c>
      <c r="GT55" s="704">
        <v>12.616376199694919</v>
      </c>
      <c r="GU55" s="173">
        <v>96.743599110465567</v>
      </c>
      <c r="GV55" s="1137">
        <v>1819.88598056418</v>
      </c>
      <c r="GW55" s="1138">
        <v>24.691884896491899</v>
      </c>
      <c r="GX55" s="1139">
        <v>143.923982422412</v>
      </c>
      <c r="GZ55" s="563" t="s">
        <v>577</v>
      </c>
      <c r="HA55" s="703">
        <v>536.842894</v>
      </c>
      <c r="HB55" s="704">
        <v>593.35152300000004</v>
      </c>
      <c r="HC55" s="173">
        <f t="shared" si="7"/>
        <v>3.3043109999998705</v>
      </c>
      <c r="HD55" s="703">
        <v>735.10554852634812</v>
      </c>
      <c r="HE55" s="704">
        <v>763.33520248165678</v>
      </c>
      <c r="HF55" s="173">
        <f t="shared" si="8"/>
        <v>3.5581606260850549</v>
      </c>
      <c r="HG55" s="583">
        <v>565.49535211059197</v>
      </c>
      <c r="HH55" s="1138">
        <v>1418.2800672236999</v>
      </c>
      <c r="HI55" s="173">
        <f t="shared" si="9"/>
        <v>4.7264285487881352</v>
      </c>
      <c r="HK55" s="563" t="s">
        <v>577</v>
      </c>
      <c r="HL55" s="704">
        <v>1042.1287279999999</v>
      </c>
      <c r="HM55" s="704">
        <v>3871.3056029999998</v>
      </c>
      <c r="HN55" s="776">
        <f t="shared" si="10"/>
        <v>3.7148055695860256</v>
      </c>
      <c r="HO55" s="703">
        <v>1392.6389363239296</v>
      </c>
      <c r="HP55" s="704">
        <v>4927.6698054639019</v>
      </c>
      <c r="HQ55" s="776">
        <f t="shared" si="11"/>
        <v>3.5383685440184474</v>
      </c>
      <c r="HR55" s="1138">
        <v>1819.88598056418</v>
      </c>
      <c r="HS55" s="1138">
        <v>5894.2693610418501</v>
      </c>
      <c r="HT55" s="784">
        <f t="shared" si="12"/>
        <v>3.2388124442909203</v>
      </c>
      <c r="HV55" s="563" t="s">
        <v>577</v>
      </c>
      <c r="HW55" s="172">
        <v>517.86555299999998</v>
      </c>
      <c r="HX55" s="337">
        <v>2198.0652329999998</v>
      </c>
      <c r="HY55" s="787">
        <f t="shared" si="13"/>
        <v>4.2444708288987121</v>
      </c>
      <c r="HZ55" s="704">
        <v>520.95886299999995</v>
      </c>
      <c r="IA55" s="704">
        <v>1669.936058</v>
      </c>
      <c r="IB55" s="787">
        <f t="shared" si="14"/>
        <v>3.2055046503739013</v>
      </c>
      <c r="IC55" s="703">
        <v>704.93707714795914</v>
      </c>
      <c r="ID55" s="704">
        <v>2915.6520417733118</v>
      </c>
      <c r="IE55" s="787">
        <f t="shared" si="15"/>
        <v>4.136045806484578</v>
      </c>
      <c r="IF55" s="704">
        <v>684.14369854988524</v>
      </c>
      <c r="IG55" s="704">
        <v>2006.0874959804485</v>
      </c>
      <c r="IH55" s="776">
        <f t="shared" si="16"/>
        <v>2.9322604304220921</v>
      </c>
      <c r="II55" s="1137">
        <v>527.72599714047999</v>
      </c>
      <c r="IJ55" s="1138">
        <v>2131.89029939991</v>
      </c>
      <c r="IK55" s="1170">
        <f t="shared" si="17"/>
        <v>4.0397674379350379</v>
      </c>
      <c r="IL55" s="1138">
        <v>1287.4335548749</v>
      </c>
      <c r="IM55" s="1138">
        <v>3754.57365519827</v>
      </c>
      <c r="IN55" s="1171">
        <f t="shared" si="18"/>
        <v>2.9163242180394331</v>
      </c>
      <c r="IP55" s="563" t="s">
        <v>577</v>
      </c>
      <c r="IQ55" s="172">
        <v>84.810670999999999</v>
      </c>
      <c r="IR55" s="704">
        <v>56.842672</v>
      </c>
      <c r="IS55" s="704">
        <v>234.40275700000001</v>
      </c>
      <c r="IT55" s="704">
        <v>452.306848</v>
      </c>
      <c r="IU55" s="704">
        <v>213.76577900000001</v>
      </c>
      <c r="IV55" s="704">
        <v>3871.3056029999998</v>
      </c>
      <c r="IW55" s="703">
        <v>118.9009393523488</v>
      </c>
      <c r="IX55" s="704">
        <v>143.55772722263293</v>
      </c>
      <c r="IY55" s="704">
        <v>385.83093351547348</v>
      </c>
      <c r="IZ55" s="704">
        <v>501.47820532098206</v>
      </c>
      <c r="JA55" s="704">
        <v>242.87113091249228</v>
      </c>
      <c r="JB55" s="173">
        <v>4927.6698054639019</v>
      </c>
      <c r="JC55" s="1137">
        <v>135.53719013826301</v>
      </c>
      <c r="JD55" s="1138">
        <v>362.88533941002999</v>
      </c>
      <c r="JE55" s="1138">
        <v>609.27475116304697</v>
      </c>
      <c r="JF55" s="1138">
        <v>486.17342964923802</v>
      </c>
      <c r="JG55" s="1138">
        <v>226.01527020360101</v>
      </c>
      <c r="JH55" s="1139">
        <v>5894.2693610418501</v>
      </c>
      <c r="JJ55" s="563" t="s">
        <v>577</v>
      </c>
      <c r="JK55" s="172">
        <v>739.13369699999998</v>
      </c>
      <c r="JL55" s="337">
        <v>273.03732100000002</v>
      </c>
      <c r="JM55" s="337">
        <v>19.453294</v>
      </c>
      <c r="JN55" s="173">
        <v>10.504415</v>
      </c>
      <c r="JO55" s="703">
        <v>863.10236830342535</v>
      </c>
      <c r="JP55" s="704">
        <v>401.26340642077309</v>
      </c>
      <c r="JQ55" s="704">
        <v>96.718452303726806</v>
      </c>
      <c r="JR55" s="173">
        <v>31.554709296004251</v>
      </c>
      <c r="JS55" s="1137">
        <v>1022.6257060775</v>
      </c>
      <c r="JT55" s="1138">
        <v>575.35747268557589</v>
      </c>
      <c r="JU55" s="1138">
        <v>207.37850608422701</v>
      </c>
      <c r="JV55" s="1139">
        <v>14.5242957168806</v>
      </c>
      <c r="JX55" s="563" t="s">
        <v>577</v>
      </c>
      <c r="JY55" s="703">
        <v>356.01586972828602</v>
      </c>
      <c r="JZ55" s="704">
        <v>547.13204150909405</v>
      </c>
      <c r="KA55" s="704">
        <v>358.76317037222702</v>
      </c>
      <c r="KB55" s="173">
        <v>557.97489895457204</v>
      </c>
      <c r="KC55" s="603"/>
      <c r="KD55" s="563" t="s">
        <v>577</v>
      </c>
      <c r="KE55" s="703">
        <v>3.56467762404893</v>
      </c>
      <c r="KF55" s="704">
        <v>1.3319797955852299</v>
      </c>
      <c r="KG55" s="704">
        <v>320.83433079022501</v>
      </c>
      <c r="KH55" s="704">
        <v>238.51167839921999</v>
      </c>
      <c r="KI55" s="704">
        <v>82.841544089845698</v>
      </c>
      <c r="KJ55" s="173">
        <v>516.92606177114703</v>
      </c>
      <c r="KK55" s="703">
        <v>0</v>
      </c>
      <c r="KL55" s="704">
        <v>6.2994005519802698</v>
      </c>
      <c r="KM55" s="704">
        <v>385.38012548082799</v>
      </c>
      <c r="KN55" s="704">
        <v>48.191774391817702</v>
      </c>
      <c r="KO55" s="704">
        <v>4.1298067601868</v>
      </c>
      <c r="KP55" s="173">
        <v>78.495089853766899</v>
      </c>
      <c r="KQ55" s="703">
        <v>3.56467762404893</v>
      </c>
      <c r="KR55" s="704">
        <v>7.6313803475655</v>
      </c>
      <c r="KS55" s="704">
        <v>707.54643606663899</v>
      </c>
      <c r="KT55" s="704">
        <v>286.70345279103702</v>
      </c>
      <c r="KU55" s="704">
        <v>88.303330645617706</v>
      </c>
      <c r="KV55" s="173">
        <v>597.48362058253895</v>
      </c>
      <c r="KW55" s="429"/>
      <c r="KX55" s="563" t="s">
        <v>577</v>
      </c>
      <c r="KY55" s="172">
        <f t="shared" si="35"/>
        <v>158.15689899999995</v>
      </c>
      <c r="KZ55" s="337">
        <v>654.57890099999997</v>
      </c>
      <c r="LA55" s="173">
        <v>229.39292800000001</v>
      </c>
      <c r="LB55" s="172">
        <f t="shared" si="36"/>
        <v>221.18631607949601</v>
      </c>
      <c r="LC55" s="704">
        <v>847.47128204148214</v>
      </c>
      <c r="LD55" s="173">
        <v>323.98133820295146</v>
      </c>
      <c r="LE55" s="172">
        <f t="shared" si="37"/>
        <v>281.49189985317503</v>
      </c>
      <c r="LF55" s="1138">
        <v>1186.66277385903</v>
      </c>
      <c r="LG55" s="1139">
        <v>358.73131395966499</v>
      </c>
      <c r="LH55" s="426"/>
      <c r="LI55" s="563" t="s">
        <v>577</v>
      </c>
      <c r="LJ55" s="172">
        <v>844.83816200000001</v>
      </c>
      <c r="LK55" s="337">
        <v>764.51075800000001</v>
      </c>
      <c r="LL55" s="337">
        <v>80.327404000000001</v>
      </c>
      <c r="LM55" s="337">
        <v>129.01912899999999</v>
      </c>
      <c r="LN55" s="337">
        <v>119.982708</v>
      </c>
      <c r="LO55" s="173">
        <v>29.935101</v>
      </c>
      <c r="LP55" s="703">
        <v>1290.0850176522968</v>
      </c>
      <c r="LQ55" s="704">
        <v>1120.8656095773254</v>
      </c>
      <c r="LR55" s="704">
        <v>169.21940807497157</v>
      </c>
      <c r="LS55" s="704">
        <v>116.76638562796356</v>
      </c>
      <c r="LT55" s="704">
        <v>105.02573857421145</v>
      </c>
      <c r="LU55" s="173">
        <v>73.30325402501883</v>
      </c>
      <c r="LV55" s="1137">
        <v>1795.2985412754599</v>
      </c>
      <c r="LW55" s="1138">
        <v>1607.1479031962899</v>
      </c>
      <c r="LX55" s="1138">
        <v>188.15063807916499</v>
      </c>
      <c r="LY55" s="1138">
        <v>148.99140704834801</v>
      </c>
      <c r="LZ55" s="1138">
        <v>80.307146171831505</v>
      </c>
      <c r="MA55" s="1139">
        <v>92.017801198583101</v>
      </c>
      <c r="MC55" s="563" t="s">
        <v>577</v>
      </c>
      <c r="MD55" s="172">
        <v>0</v>
      </c>
      <c r="ME55" s="337">
        <v>28.469778999999999</v>
      </c>
      <c r="MF55" s="337">
        <v>54.621679999999998</v>
      </c>
      <c r="MG55" s="337">
        <v>198.780722</v>
      </c>
      <c r="MH55" s="337">
        <v>311.77259199999997</v>
      </c>
      <c r="MI55" s="173">
        <v>170.86598599999999</v>
      </c>
      <c r="MJ55" s="703">
        <v>0</v>
      </c>
      <c r="MK55" s="704">
        <v>24.19273688559235</v>
      </c>
      <c r="ML55" s="704">
        <v>147.62080318176191</v>
      </c>
      <c r="MM55" s="704">
        <v>346.45373146676889</v>
      </c>
      <c r="MN55" s="704">
        <v>369.97478573510551</v>
      </c>
      <c r="MO55" s="173">
        <v>231.62355308960937</v>
      </c>
      <c r="MP55" s="1137">
        <v>0</v>
      </c>
      <c r="MQ55" s="1138">
        <v>41.751976899931897</v>
      </c>
      <c r="MR55" s="1138">
        <v>206.08538017925599</v>
      </c>
      <c r="MS55" s="1138">
        <v>477.60919206546799</v>
      </c>
      <c r="MT55" s="1138">
        <v>592.90660152733199</v>
      </c>
      <c r="MU55" s="1139">
        <v>295.794759631999</v>
      </c>
      <c r="MW55" s="563" t="s">
        <v>577</v>
      </c>
      <c r="MX55" s="172">
        <v>768.11081000000001</v>
      </c>
      <c r="MY55" s="337">
        <v>722.79069000000004</v>
      </c>
      <c r="MZ55" s="337">
        <v>45.320120000000003</v>
      </c>
      <c r="NA55" s="703">
        <v>1126.1037033092855</v>
      </c>
      <c r="NB55" s="704">
        <v>1062.4397499430238</v>
      </c>
      <c r="NC55" s="173">
        <v>63.663953366261957</v>
      </c>
      <c r="ND55" s="1137">
        <v>1614.37525417653</v>
      </c>
      <c r="NE55" s="1138">
        <v>1498.580972512</v>
      </c>
      <c r="NF55" s="1139">
        <v>115.794281664529</v>
      </c>
      <c r="NH55" s="563" t="s">
        <v>577</v>
      </c>
      <c r="NI55" s="703">
        <v>928.46922408535966</v>
      </c>
      <c r="NJ55" s="173">
        <v>133.97052585766414</v>
      </c>
      <c r="NK55" s="703">
        <v>42.24529680331441</v>
      </c>
      <c r="NL55" s="704">
        <v>21.41865656294755</v>
      </c>
      <c r="NM55" s="173">
        <v>0</v>
      </c>
      <c r="NN55" s="1137">
        <v>1278.3985167629601</v>
      </c>
      <c r="NO55" s="1139">
        <v>220.18245574903662</v>
      </c>
      <c r="NP55" s="1137">
        <v>69.644672074407495</v>
      </c>
      <c r="NQ55" s="1138">
        <v>42.6002172234368</v>
      </c>
      <c r="NR55" s="1139">
        <v>3.5493923666848901</v>
      </c>
      <c r="NS55" s="136"/>
      <c r="NT55" s="563" t="s">
        <v>577</v>
      </c>
      <c r="NU55" s="703">
        <v>89.422814776730064</v>
      </c>
      <c r="NV55" s="704">
        <v>7.1163212521701604</v>
      </c>
      <c r="NW55" s="704">
        <v>4.0520401899321303</v>
      </c>
      <c r="NX55" s="173">
        <v>33.379349638831769</v>
      </c>
      <c r="NY55" s="1137">
        <v>156.50924287633001</v>
      </c>
      <c r="NZ55" s="1138">
        <v>18.247908855529001</v>
      </c>
      <c r="OA55" s="1138">
        <v>0</v>
      </c>
      <c r="OB55" s="1139">
        <v>45.425304017177602</v>
      </c>
      <c r="OC55" s="553"/>
      <c r="OD55" s="563" t="s">
        <v>577</v>
      </c>
      <c r="OE55" s="703">
        <v>86.330074359740706</v>
      </c>
      <c r="OF55" s="704">
        <v>103.72920552874901</v>
      </c>
      <c r="OG55" s="704">
        <v>116.905774995595</v>
      </c>
      <c r="OH55" s="704">
        <v>72.2868359264627</v>
      </c>
      <c r="OI55" s="704">
        <v>141.03719432936401</v>
      </c>
      <c r="OJ55" s="704">
        <v>15.156577669460701</v>
      </c>
      <c r="OK55" s="173">
        <v>28.652231276449299</v>
      </c>
      <c r="OL55" s="703">
        <v>146.97938719595001</v>
      </c>
      <c r="OM55" s="704">
        <v>106.769456646047</v>
      </c>
      <c r="ON55" s="704">
        <v>116.905774995595</v>
      </c>
      <c r="OO55" s="704">
        <v>77.159080494748693</v>
      </c>
      <c r="OP55" s="704">
        <v>350.70779464763098</v>
      </c>
      <c r="OQ55" s="704">
        <v>357.208152470664</v>
      </c>
      <c r="OR55" s="173">
        <v>1956.66481744513</v>
      </c>
      <c r="OT55" s="563" t="s">
        <v>577</v>
      </c>
      <c r="OU55" s="172">
        <v>674.43936399999996</v>
      </c>
      <c r="OV55" s="337">
        <v>407.22616399999998</v>
      </c>
      <c r="OW55" s="337">
        <v>252.51181800000001</v>
      </c>
      <c r="OX55" s="173">
        <v>289.95762000000002</v>
      </c>
      <c r="OY55" s="703">
        <v>647.41185662211808</v>
      </c>
      <c r="OZ55" s="704">
        <v>584.32443046562094</v>
      </c>
      <c r="PA55" s="704">
        <v>347.4523160443693</v>
      </c>
      <c r="PB55" s="173">
        <v>545.12886619097924</v>
      </c>
      <c r="PC55" s="1137">
        <v>638.915481991143</v>
      </c>
      <c r="PD55" s="1138">
        <v>579.01156906737504</v>
      </c>
      <c r="PE55" s="1138">
        <v>470.005882365113</v>
      </c>
      <c r="PF55" s="1139">
        <v>796.67407243280297</v>
      </c>
      <c r="PH55" s="563" t="s">
        <v>577</v>
      </c>
      <c r="PI55" s="703">
        <v>273.07900570320044</v>
      </c>
      <c r="PJ55" s="704">
        <v>304.58422803363698</v>
      </c>
      <c r="PK55" s="704">
        <v>238.05301364445299</v>
      </c>
      <c r="PL55" s="173">
        <v>370.26882661575502</v>
      </c>
      <c r="PM55" s="703">
        <v>365.83647628794301</v>
      </c>
      <c r="PN55" s="704">
        <v>274.427341033738</v>
      </c>
      <c r="PO55" s="704">
        <v>231.95286872066001</v>
      </c>
      <c r="PP55" s="173">
        <v>426.40524581704801</v>
      </c>
      <c r="PQ55" s="65"/>
      <c r="PR55" s="563" t="s">
        <v>577</v>
      </c>
      <c r="PS55" s="1038">
        <v>48.059602402488402</v>
      </c>
      <c r="PT55" s="1039">
        <v>60.090559028380099</v>
      </c>
      <c r="PU55" s="1039">
        <v>46.4011707599294</v>
      </c>
      <c r="PV55" s="1039">
        <v>21.990364644217198</v>
      </c>
      <c r="PW55" s="1039">
        <v>1138.9654417278</v>
      </c>
      <c r="PX55" s="1040">
        <v>305.868122721406</v>
      </c>
      <c r="PZ55" s="563" t="s">
        <v>577</v>
      </c>
      <c r="QA55" s="1038">
        <v>898.34014698779094</v>
      </c>
      <c r="QB55" s="1039">
        <v>716.03510718873599</v>
      </c>
      <c r="QC55" s="1039">
        <v>622.68567393717296</v>
      </c>
      <c r="QD55" s="1039">
        <v>31.895853512491499</v>
      </c>
      <c r="QE55" s="1039">
        <v>60.407619718691599</v>
      </c>
      <c r="QF55" s="1040">
        <v>1.04596002037994</v>
      </c>
    </row>
    <row r="56" spans="1:448" ht="13.5" customHeight="1">
      <c r="A56" s="593" t="s">
        <v>521</v>
      </c>
      <c r="B56" s="559" t="s">
        <v>578</v>
      </c>
      <c r="C56" s="1103">
        <v>1905.9205509999999</v>
      </c>
      <c r="D56" s="690">
        <v>1825.921246659824</v>
      </c>
      <c r="E56" s="691">
        <v>1921.8668813132299</v>
      </c>
      <c r="F56" s="428"/>
      <c r="G56" s="563" t="s">
        <v>578</v>
      </c>
      <c r="H56" s="686">
        <f t="shared" si="5"/>
        <v>-8.5394238859218818E-3</v>
      </c>
      <c r="I56" s="668">
        <f t="shared" si="6"/>
        <v>1.0295112792446659E-2</v>
      </c>
      <c r="J56" s="612"/>
      <c r="K56" s="63"/>
      <c r="L56" s="559" t="s">
        <v>578</v>
      </c>
      <c r="M56" s="636">
        <v>25</v>
      </c>
      <c r="N56" s="637">
        <v>31</v>
      </c>
      <c r="O56" s="637">
        <v>21</v>
      </c>
      <c r="P56" s="637">
        <v>20</v>
      </c>
      <c r="Q56" s="637">
        <v>30</v>
      </c>
      <c r="R56" s="637">
        <v>28</v>
      </c>
      <c r="S56" s="637">
        <v>22</v>
      </c>
      <c r="T56" s="637">
        <v>21</v>
      </c>
      <c r="U56" s="1138">
        <v>11</v>
      </c>
      <c r="V56" s="1138">
        <v>25</v>
      </c>
      <c r="W56" s="1139">
        <v>23</v>
      </c>
      <c r="X56" s="563" t="s">
        <v>578</v>
      </c>
      <c r="Y56" s="666">
        <v>28</v>
      </c>
      <c r="Z56" s="667">
        <v>20.5</v>
      </c>
      <c r="AA56" s="667">
        <v>29</v>
      </c>
      <c r="AB56" s="667">
        <v>21.5</v>
      </c>
      <c r="AC56" s="667">
        <v>21.5</v>
      </c>
      <c r="AD56" s="668">
        <v>-0.26785714285714285</v>
      </c>
      <c r="AE56" s="668">
        <v>0.41463414634146339</v>
      </c>
      <c r="AF56" s="668">
        <v>-0.25862068965517243</v>
      </c>
      <c r="AG56" s="1213">
        <v>0.41463414634146339</v>
      </c>
      <c r="AN56" s="563" t="s">
        <v>578</v>
      </c>
      <c r="AO56" s="636">
        <v>0</v>
      </c>
      <c r="AP56" s="637">
        <v>30.677969999999998</v>
      </c>
      <c r="AQ56" s="637">
        <v>37.591988000000001</v>
      </c>
      <c r="AR56" s="637">
        <v>128.796032</v>
      </c>
      <c r="AS56" s="637">
        <v>297.55214699999999</v>
      </c>
      <c r="AT56" s="637">
        <v>275.85119200000003</v>
      </c>
      <c r="AU56" s="637">
        <v>537.31549199999995</v>
      </c>
      <c r="AV56" s="173">
        <v>231.01538300000001</v>
      </c>
      <c r="AW56" s="636">
        <v>0</v>
      </c>
      <c r="AX56" s="637">
        <v>16.614728058941399</v>
      </c>
      <c r="AY56" s="637">
        <v>35.532930297803226</v>
      </c>
      <c r="AZ56" s="637">
        <v>131.03157109533129</v>
      </c>
      <c r="BA56" s="637">
        <v>328.05126161465739</v>
      </c>
      <c r="BB56" s="637">
        <v>330.81431355396398</v>
      </c>
      <c r="BC56" s="637">
        <v>433.82337163933028</v>
      </c>
      <c r="BD56" s="173">
        <v>229.08411061035596</v>
      </c>
      <c r="BE56" s="1137">
        <v>0</v>
      </c>
      <c r="BF56" s="1138">
        <v>28.993165295084701</v>
      </c>
      <c r="BG56" s="1138">
        <v>79.670282804994301</v>
      </c>
      <c r="BH56" s="1138">
        <v>147.782977287048</v>
      </c>
      <c r="BI56" s="1138">
        <v>304.65919723521102</v>
      </c>
      <c r="BJ56" s="1138">
        <v>223.24915162776799</v>
      </c>
      <c r="BK56" s="1138">
        <v>430.40920873623202</v>
      </c>
      <c r="BL56" s="1139">
        <v>282.94981770596002</v>
      </c>
      <c r="BN56" s="563" t="s">
        <v>578</v>
      </c>
      <c r="BO56" s="647">
        <v>367.12034599999998</v>
      </c>
      <c r="BP56" s="648">
        <v>292.30791299999999</v>
      </c>
      <c r="BQ56" s="648">
        <v>360.24877099999998</v>
      </c>
      <c r="BR56" s="648">
        <v>319.435971</v>
      </c>
      <c r="BS56" s="648">
        <v>381.33620999999999</v>
      </c>
      <c r="BT56" s="173">
        <v>185.471339</v>
      </c>
      <c r="BU56" s="647">
        <v>320.96895978944059</v>
      </c>
      <c r="BV56" s="648">
        <v>309.03199830174447</v>
      </c>
      <c r="BW56" s="648">
        <v>330.53319223362581</v>
      </c>
      <c r="BX56" s="648">
        <v>414.96081681663998</v>
      </c>
      <c r="BY56" s="648">
        <v>255.91007092443252</v>
      </c>
      <c r="BZ56" s="173">
        <v>194.51620859394069</v>
      </c>
      <c r="CA56" s="1137">
        <v>424.15308062092998</v>
      </c>
      <c r="CB56" s="1138">
        <v>339.20784865448098</v>
      </c>
      <c r="CC56" s="1138">
        <v>294.91027889306599</v>
      </c>
      <c r="CD56" s="1138">
        <v>360.52262365760703</v>
      </c>
      <c r="CE56" s="1138">
        <v>248.78249858838501</v>
      </c>
      <c r="CF56" s="1139">
        <v>254.290550898758</v>
      </c>
      <c r="CG56" s="429"/>
      <c r="CH56" s="563" t="s">
        <v>578</v>
      </c>
      <c r="CI56" s="172">
        <v>486.550364</v>
      </c>
      <c r="CJ56" s="337">
        <v>934.89436000000001</v>
      </c>
      <c r="CK56" s="337">
        <v>484.47582699999998</v>
      </c>
      <c r="CL56" s="647">
        <v>454.53589533511831</v>
      </c>
      <c r="CM56" s="648">
        <v>981.14726596388903</v>
      </c>
      <c r="CN56" s="648">
        <v>390.2380853608168</v>
      </c>
      <c r="CO56" s="1137">
        <v>560.15126340340396</v>
      </c>
      <c r="CP56" s="1138">
        <v>949.99561352304204</v>
      </c>
      <c r="CQ56" s="1139">
        <v>411.72000438678202</v>
      </c>
      <c r="CR56" s="429"/>
      <c r="DB56" s="426"/>
      <c r="DC56" s="426"/>
      <c r="DD56" s="426"/>
      <c r="DE56" s="426"/>
      <c r="DG56" s="563" t="s">
        <v>578</v>
      </c>
      <c r="DH56" s="1147" t="s">
        <v>767</v>
      </c>
      <c r="DI56" s="1150" t="s">
        <v>976</v>
      </c>
      <c r="DJ56" s="704" t="s">
        <v>977</v>
      </c>
      <c r="DK56" s="704" t="s">
        <v>978</v>
      </c>
      <c r="DL56" s="337" t="s">
        <v>979</v>
      </c>
      <c r="DM56" s="174" t="s">
        <v>845</v>
      </c>
      <c r="DO56" s="559" t="s">
        <v>578</v>
      </c>
      <c r="DP56" s="704">
        <v>852.02933099999996</v>
      </c>
      <c r="DQ56" s="337">
        <v>846.22244437074858</v>
      </c>
      <c r="DR56" s="1139">
        <v>885.37608115374405</v>
      </c>
      <c r="DS56" s="63"/>
      <c r="DT56" s="563" t="s">
        <v>578</v>
      </c>
      <c r="DU56" s="172">
        <v>1905.9205509999999</v>
      </c>
      <c r="DV56" s="337">
        <v>1825.921246659824</v>
      </c>
      <c r="DW56" s="1139">
        <v>1921.8668813132299</v>
      </c>
      <c r="DX56" s="63"/>
      <c r="DY56" s="563" t="s">
        <v>578</v>
      </c>
      <c r="DZ56" s="1089">
        <f t="shared" si="32"/>
        <v>2.2369189435803589</v>
      </c>
      <c r="EA56" s="787">
        <f t="shared" si="33"/>
        <v>2.1577319991997848</v>
      </c>
      <c r="EB56" s="776">
        <f t="shared" si="34"/>
        <v>2.1706785649876856</v>
      </c>
      <c r="ED56" s="541"/>
      <c r="EE56" s="563" t="s">
        <v>578</v>
      </c>
      <c r="EF56" s="735">
        <v>257.15893799999998</v>
      </c>
      <c r="EG56" s="736">
        <v>14.643008</v>
      </c>
      <c r="EH56" s="736">
        <v>276.14636200000001</v>
      </c>
      <c r="EI56" s="736">
        <v>176.39000999999999</v>
      </c>
      <c r="EJ56" s="736">
        <v>127.691013</v>
      </c>
      <c r="EK56" s="703">
        <v>295.95644018129803</v>
      </c>
      <c r="EL56" s="704">
        <v>23.127570657141529</v>
      </c>
      <c r="EM56" s="704">
        <v>217.19900885605745</v>
      </c>
      <c r="EN56" s="704">
        <v>181.62919222345931</v>
      </c>
      <c r="EO56" s="704">
        <v>128.31023245279221</v>
      </c>
      <c r="EP56" s="1137">
        <v>358.790994521855</v>
      </c>
      <c r="EQ56" s="1138">
        <v>0</v>
      </c>
      <c r="ER56" s="1138">
        <v>192.584458114732</v>
      </c>
      <c r="ES56" s="1138">
        <v>195.366990247205</v>
      </c>
      <c r="ET56" s="1139">
        <v>138.633638269952</v>
      </c>
      <c r="EV56" s="563" t="s">
        <v>578</v>
      </c>
      <c r="EW56" s="703">
        <v>11.577869</v>
      </c>
      <c r="EX56" s="704">
        <v>112.359621</v>
      </c>
      <c r="EY56" s="704">
        <v>105.339562</v>
      </c>
      <c r="EZ56" s="704">
        <v>27.881886000000002</v>
      </c>
      <c r="FA56" s="703">
        <v>207.006835</v>
      </c>
      <c r="FB56" s="704">
        <v>720.537285</v>
      </c>
      <c r="FC56" s="704">
        <v>514.22332200000005</v>
      </c>
      <c r="FD56" s="704">
        <v>97.032762000000005</v>
      </c>
      <c r="FE56" s="703">
        <v>26.456533479204843</v>
      </c>
      <c r="FF56" s="704">
        <v>158.72194541012084</v>
      </c>
      <c r="FG56" s="704">
        <v>81.147623115629386</v>
      </c>
      <c r="FH56" s="173">
        <v>29.630338176342971</v>
      </c>
      <c r="FI56" s="703">
        <v>219.29961930152808</v>
      </c>
      <c r="FJ56" s="704">
        <v>730.03080785562975</v>
      </c>
      <c r="FK56" s="746">
        <v>463.22820176362694</v>
      </c>
      <c r="FL56" s="747">
        <v>92.393657949598719</v>
      </c>
      <c r="FM56" s="1137">
        <v>43.414005708254201</v>
      </c>
      <c r="FN56" s="1138">
        <v>101.389826434112</v>
      </c>
      <c r="FO56" s="1138">
        <v>161.10698157915499</v>
      </c>
      <c r="FP56" s="1139">
        <v>52.880180800333299</v>
      </c>
      <c r="FQ56" s="1137">
        <v>231.581997384023</v>
      </c>
      <c r="FR56" s="1138">
        <v>653.55561053649706</v>
      </c>
      <c r="FS56" s="1138">
        <v>455.82699866185601</v>
      </c>
      <c r="FT56" s="1139">
        <v>156.749194109922</v>
      </c>
      <c r="FV56" s="559" t="s">
        <v>578</v>
      </c>
      <c r="FW56" s="337">
        <v>309.074499</v>
      </c>
      <c r="FX56" s="337">
        <v>99.614887999999993</v>
      </c>
      <c r="FY56" s="337">
        <v>111.45595</v>
      </c>
      <c r="FZ56" s="173">
        <v>60.082048</v>
      </c>
      <c r="GA56" s="703">
        <v>266.86853163155553</v>
      </c>
      <c r="GB56" s="704">
        <v>136.84041717014006</v>
      </c>
      <c r="GC56" s="704">
        <v>81.906166159579954</v>
      </c>
      <c r="GD56" s="173">
        <v>48.054073201467304</v>
      </c>
      <c r="GE56" s="1137">
        <v>237.64423451444699</v>
      </c>
      <c r="GF56" s="1138">
        <v>111.76867410161</v>
      </c>
      <c r="GG56" s="1138">
        <v>106.524107331919</v>
      </c>
      <c r="GH56" s="1139">
        <v>74.166817142226307</v>
      </c>
      <c r="GJ56" s="563" t="s">
        <v>578</v>
      </c>
      <c r="GK56" s="703">
        <v>885.99896000000001</v>
      </c>
      <c r="GL56" s="704">
        <v>888.99933866586935</v>
      </c>
      <c r="GM56" s="1139">
        <v>958.50089899669604</v>
      </c>
      <c r="GO56" s="563" t="s">
        <v>578</v>
      </c>
      <c r="GP56" s="703">
        <v>852.02933099999996</v>
      </c>
      <c r="GQ56" s="704">
        <v>0</v>
      </c>
      <c r="GR56" s="173">
        <v>33.969628999999998</v>
      </c>
      <c r="GS56" s="703">
        <v>846.22244437074858</v>
      </c>
      <c r="GT56" s="704">
        <v>3.2214514591093599</v>
      </c>
      <c r="GU56" s="173">
        <v>39.555442836011501</v>
      </c>
      <c r="GV56" s="1137">
        <v>885.37608115374405</v>
      </c>
      <c r="GW56" s="1138">
        <v>8.2320882052437998</v>
      </c>
      <c r="GX56" s="1139">
        <v>64.892729637707603</v>
      </c>
      <c r="GZ56" s="563" t="s">
        <v>578</v>
      </c>
      <c r="HA56" s="703">
        <v>375.13926700000002</v>
      </c>
      <c r="HB56" s="704">
        <v>510.85969299999999</v>
      </c>
      <c r="HC56" s="173">
        <f t="shared" si="7"/>
        <v>0</v>
      </c>
      <c r="HD56" s="703">
        <v>271.36117884642124</v>
      </c>
      <c r="HE56" s="704">
        <v>617.63815981944822</v>
      </c>
      <c r="HF56" s="173">
        <f t="shared" si="8"/>
        <v>0</v>
      </c>
      <c r="HG56" s="583">
        <v>323.00879894325601</v>
      </c>
      <c r="HH56" s="1138">
        <v>635.492100053439</v>
      </c>
      <c r="HI56" s="173">
        <f t="shared" si="9"/>
        <v>1.0231815394945443E-12</v>
      </c>
      <c r="HK56" s="563" t="s">
        <v>578</v>
      </c>
      <c r="HL56" s="704">
        <v>852.02933099999996</v>
      </c>
      <c r="HM56" s="704">
        <v>3149.0838840000001</v>
      </c>
      <c r="HN56" s="776">
        <f t="shared" si="10"/>
        <v>3.695980607033821</v>
      </c>
      <c r="HO56" s="703">
        <v>846.22244437074858</v>
      </c>
      <c r="HP56" s="704">
        <v>2986.1751341976887</v>
      </c>
      <c r="HQ56" s="776">
        <f t="shared" si="11"/>
        <v>3.5288299832536469</v>
      </c>
      <c r="HR56" s="1138">
        <v>885.37608115374405</v>
      </c>
      <c r="HS56" s="1138">
        <v>3175.8199829868499</v>
      </c>
      <c r="HT56" s="784">
        <f t="shared" si="12"/>
        <v>3.5869728701597645</v>
      </c>
      <c r="HV56" s="563" t="s">
        <v>578</v>
      </c>
      <c r="HW56" s="172">
        <v>367.14547599999997</v>
      </c>
      <c r="HX56" s="337">
        <v>1664.149915</v>
      </c>
      <c r="HY56" s="787">
        <f t="shared" si="13"/>
        <v>4.5326717167556767</v>
      </c>
      <c r="HZ56" s="704">
        <v>484.88385499999998</v>
      </c>
      <c r="IA56" s="704">
        <v>1484.93397</v>
      </c>
      <c r="IB56" s="787">
        <f t="shared" si="14"/>
        <v>3.0624529043145809</v>
      </c>
      <c r="IC56" s="703">
        <v>254.9383183789908</v>
      </c>
      <c r="ID56" s="704">
        <v>1111.7046036562165</v>
      </c>
      <c r="IE56" s="787">
        <f t="shared" si="15"/>
        <v>4.3606806961186537</v>
      </c>
      <c r="IF56" s="704">
        <v>591.28412599175772</v>
      </c>
      <c r="IG56" s="704">
        <v>1874.470530541472</v>
      </c>
      <c r="IH56" s="776">
        <f t="shared" si="16"/>
        <v>3.170168871686573</v>
      </c>
      <c r="II56" s="1137">
        <v>301.38576166141598</v>
      </c>
      <c r="IJ56" s="1138">
        <v>1312.0826991076699</v>
      </c>
      <c r="IK56" s="1170">
        <f t="shared" si="17"/>
        <v>4.3534992889999069</v>
      </c>
      <c r="IL56" s="1138">
        <v>583.99031949232801</v>
      </c>
      <c r="IM56" s="1138">
        <v>1863.73728387918</v>
      </c>
      <c r="IN56" s="1171">
        <f t="shared" si="18"/>
        <v>3.1913838666013441</v>
      </c>
      <c r="IP56" s="563" t="s">
        <v>578</v>
      </c>
      <c r="IQ56" s="172">
        <v>33.739564000000001</v>
      </c>
      <c r="IR56" s="704">
        <v>122.614363</v>
      </c>
      <c r="IS56" s="704">
        <v>184.45675299999999</v>
      </c>
      <c r="IT56" s="704">
        <v>332.72350399999999</v>
      </c>
      <c r="IU56" s="704">
        <v>178.495147</v>
      </c>
      <c r="IV56" s="704">
        <v>3149.0838840000001</v>
      </c>
      <c r="IW56" s="703">
        <v>60.563825014338967</v>
      </c>
      <c r="IX56" s="704">
        <v>129.73479944393409</v>
      </c>
      <c r="IY56" s="704">
        <v>194.57377406057276</v>
      </c>
      <c r="IZ56" s="704">
        <v>281.38466013221614</v>
      </c>
      <c r="JA56" s="704">
        <v>179.96538571968659</v>
      </c>
      <c r="JB56" s="173">
        <v>2986.1751341976887</v>
      </c>
      <c r="JC56" s="1137">
        <v>51.118647239244503</v>
      </c>
      <c r="JD56" s="1138">
        <v>127.512980937572</v>
      </c>
      <c r="JE56" s="1138">
        <v>238.300091146688</v>
      </c>
      <c r="JF56" s="1138">
        <v>262.35846618531201</v>
      </c>
      <c r="JG56" s="1138">
        <v>206.085895644928</v>
      </c>
      <c r="JH56" s="1139">
        <v>3175.8199829868499</v>
      </c>
      <c r="JJ56" s="563" t="s">
        <v>578</v>
      </c>
      <c r="JK56" s="172">
        <v>347.42099300000001</v>
      </c>
      <c r="JL56" s="337">
        <v>23.19107200000002</v>
      </c>
      <c r="JM56" s="337">
        <v>481.41726599999998</v>
      </c>
      <c r="JN56" s="173">
        <v>0</v>
      </c>
      <c r="JO56" s="703">
        <v>247.68608505154083</v>
      </c>
      <c r="JP56" s="704">
        <v>87.636068410900407</v>
      </c>
      <c r="JQ56" s="704">
        <v>510.90029090830728</v>
      </c>
      <c r="JR56" s="173">
        <v>0</v>
      </c>
      <c r="JS56" s="1137">
        <v>280.74023077549401</v>
      </c>
      <c r="JT56" s="1138">
        <v>91.089474106285024</v>
      </c>
      <c r="JU56" s="1138">
        <v>513.54637627196496</v>
      </c>
      <c r="JV56" s="1139">
        <v>0</v>
      </c>
      <c r="JX56" s="563" t="s">
        <v>578</v>
      </c>
      <c r="JY56" s="703">
        <v>94.295301221486994</v>
      </c>
      <c r="JZ56" s="704">
        <v>209.660610186192</v>
      </c>
      <c r="KA56" s="704">
        <v>159.24433408508</v>
      </c>
      <c r="KB56" s="173">
        <v>422.175835660985</v>
      </c>
      <c r="KC56" s="603"/>
      <c r="KD56" s="563" t="s">
        <v>578</v>
      </c>
      <c r="KE56" s="703">
        <v>5.7438804932208098</v>
      </c>
      <c r="KF56" s="704">
        <v>6.5688881955632903</v>
      </c>
      <c r="KG56" s="704">
        <v>282.77868506331401</v>
      </c>
      <c r="KH56" s="704">
        <v>155.608133316205</v>
      </c>
      <c r="KI56" s="704">
        <v>58.441285091626</v>
      </c>
      <c r="KJ56" s="173">
        <v>68.611832317338198</v>
      </c>
      <c r="KK56" s="703">
        <v>0</v>
      </c>
      <c r="KL56" s="704">
        <v>7.0374929166260101</v>
      </c>
      <c r="KM56" s="704">
        <v>181.84888028321299</v>
      </c>
      <c r="KN56" s="704">
        <v>97.312006727806306</v>
      </c>
      <c r="KO56" s="704">
        <v>8.1256243511422195</v>
      </c>
      <c r="KP56" s="173">
        <v>7.0617573826289499</v>
      </c>
      <c r="KQ56" s="703">
        <v>5.7438804932208098</v>
      </c>
      <c r="KR56" s="704">
        <v>13.6063811121893</v>
      </c>
      <c r="KS56" s="704">
        <v>464.62756534652601</v>
      </c>
      <c r="KT56" s="704">
        <v>252.92014004401099</v>
      </c>
      <c r="KU56" s="704">
        <v>66.566909442768207</v>
      </c>
      <c r="KV56" s="173">
        <v>75.673589699967096</v>
      </c>
      <c r="KW56" s="429"/>
      <c r="KX56" s="563" t="s">
        <v>578</v>
      </c>
      <c r="KY56" s="172">
        <f t="shared" si="35"/>
        <v>235.50655499999993</v>
      </c>
      <c r="KZ56" s="337">
        <v>453.52940599999999</v>
      </c>
      <c r="LA56" s="173">
        <v>162.99337</v>
      </c>
      <c r="LB56" s="172">
        <f t="shared" si="36"/>
        <v>243.98950863043876</v>
      </c>
      <c r="LC56" s="704">
        <v>460.44034991884558</v>
      </c>
      <c r="LD56" s="173">
        <v>141.79258582146423</v>
      </c>
      <c r="LE56" s="172">
        <f t="shared" si="37"/>
        <v>225.20586161874098</v>
      </c>
      <c r="LF56" s="1138">
        <v>515.58501259656305</v>
      </c>
      <c r="LG56" s="1139">
        <v>144.58520693844</v>
      </c>
      <c r="LH56" s="426"/>
      <c r="LI56" s="563" t="s">
        <v>578</v>
      </c>
      <c r="LJ56" s="172">
        <v>781.77942299999995</v>
      </c>
      <c r="LK56" s="337">
        <v>642.88857299999995</v>
      </c>
      <c r="LL56" s="337">
        <v>138.89085</v>
      </c>
      <c r="LM56" s="337">
        <v>123.244129</v>
      </c>
      <c r="LN56" s="337">
        <v>78.673987999999994</v>
      </c>
      <c r="LO56" s="173">
        <v>70.626835999999997</v>
      </c>
      <c r="LP56" s="703">
        <v>861.63422519179574</v>
      </c>
      <c r="LQ56" s="704">
        <v>685.97898542328619</v>
      </c>
      <c r="LR56" s="704">
        <v>175.65523976850949</v>
      </c>
      <c r="LS56" s="704">
        <v>103.94232569689792</v>
      </c>
      <c r="LT56" s="704">
        <v>56.905777360555632</v>
      </c>
      <c r="LU56" s="173">
        <v>92.231873260317428</v>
      </c>
      <c r="LV56" s="1137">
        <v>790.92011767885901</v>
      </c>
      <c r="LW56" s="1138">
        <v>636.43356003095698</v>
      </c>
      <c r="LX56" s="1138">
        <v>154.486557647902</v>
      </c>
      <c r="LY56" s="1138">
        <v>110.02149811943499</v>
      </c>
      <c r="LZ56" s="1138">
        <v>36.8061111647987</v>
      </c>
      <c r="MA56" s="1139">
        <v>148.246069342423</v>
      </c>
      <c r="MC56" s="563" t="s">
        <v>578</v>
      </c>
      <c r="MD56" s="172">
        <v>0</v>
      </c>
      <c r="ME56" s="337">
        <v>26.821282</v>
      </c>
      <c r="MF56" s="337">
        <v>26.385059999999999</v>
      </c>
      <c r="MG56" s="337">
        <v>121.49191399999999</v>
      </c>
      <c r="MH56" s="337">
        <v>237.61043699999999</v>
      </c>
      <c r="MI56" s="173">
        <v>230.57988</v>
      </c>
      <c r="MJ56" s="703">
        <v>0</v>
      </c>
      <c r="MK56" s="704">
        <v>13.323334402245299</v>
      </c>
      <c r="ML56" s="704">
        <v>32.241536641107125</v>
      </c>
      <c r="MM56" s="704">
        <v>121.12156606077554</v>
      </c>
      <c r="MN56" s="704">
        <v>247.79987897337691</v>
      </c>
      <c r="MO56" s="173">
        <v>271.49266934578134</v>
      </c>
      <c r="MP56" s="1137">
        <v>0</v>
      </c>
      <c r="MQ56" s="1138">
        <v>21.922335797496402</v>
      </c>
      <c r="MR56" s="1138">
        <v>76.142464231721902</v>
      </c>
      <c r="MS56" s="1138">
        <v>128.11003999046201</v>
      </c>
      <c r="MT56" s="1138">
        <v>232.24940221847899</v>
      </c>
      <c r="MU56" s="1139">
        <v>178.00931779279799</v>
      </c>
      <c r="MW56" s="563" t="s">
        <v>578</v>
      </c>
      <c r="MX56" s="172">
        <v>646.35516199999995</v>
      </c>
      <c r="MY56" s="337">
        <v>607.52277300000003</v>
      </c>
      <c r="MZ56" s="337">
        <v>38.832388000000002</v>
      </c>
      <c r="NA56" s="703">
        <v>692.68370844767185</v>
      </c>
      <c r="NB56" s="704">
        <v>656.30274810347714</v>
      </c>
      <c r="NC56" s="173">
        <v>36.380960344194762</v>
      </c>
      <c r="ND56" s="1137">
        <v>647.03220810181801</v>
      </c>
      <c r="NE56" s="1138">
        <v>612.45628369444296</v>
      </c>
      <c r="NF56" s="1139">
        <v>34.575924407374799</v>
      </c>
      <c r="NH56" s="563" t="s">
        <v>578</v>
      </c>
      <c r="NI56" s="703">
        <v>532.69382536149317</v>
      </c>
      <c r="NJ56" s="173">
        <v>123.60892274198399</v>
      </c>
      <c r="NK56" s="703">
        <v>29.8071498904979</v>
      </c>
      <c r="NL56" s="704">
        <v>3.3523615121928301</v>
      </c>
      <c r="NM56" s="173">
        <v>3.2214489415040299</v>
      </c>
      <c r="NN56" s="1137">
        <v>473.36927809324999</v>
      </c>
      <c r="NO56" s="1139">
        <v>139.08700560119297</v>
      </c>
      <c r="NP56" s="1137">
        <v>26.4745645222355</v>
      </c>
      <c r="NQ56" s="1138">
        <v>8.1013598851392796</v>
      </c>
      <c r="NR56" s="1139">
        <v>0</v>
      </c>
      <c r="NS56" s="136"/>
      <c r="NT56" s="563" t="s">
        <v>578</v>
      </c>
      <c r="NU56" s="703">
        <v>77.459638020295301</v>
      </c>
      <c r="NV56" s="704">
        <v>16.546933656578119</v>
      </c>
      <c r="NW56" s="704">
        <v>9.9401424586169398</v>
      </c>
      <c r="NX56" s="173">
        <v>19.662208606493621</v>
      </c>
      <c r="NY56" s="1137">
        <v>84.521513958257401</v>
      </c>
      <c r="NZ56" s="1138">
        <v>26.487385214473999</v>
      </c>
      <c r="OA56" s="1138">
        <v>9.6806373253623494</v>
      </c>
      <c r="OB56" s="1139">
        <v>18.397469103099201</v>
      </c>
      <c r="OC56" s="553"/>
      <c r="OD56" s="563" t="s">
        <v>578</v>
      </c>
      <c r="OE56" s="703">
        <v>75.474781255166803</v>
      </c>
      <c r="OF56" s="704">
        <v>152.754820433481</v>
      </c>
      <c r="OG56" s="704">
        <v>106.961964789695</v>
      </c>
      <c r="OH56" s="704">
        <v>88.072858249286796</v>
      </c>
      <c r="OI56" s="704">
        <v>46.447814493194002</v>
      </c>
      <c r="OJ56" s="704">
        <v>9.4085559814209496</v>
      </c>
      <c r="OK56" s="173">
        <v>21.629077262607598</v>
      </c>
      <c r="OL56" s="703">
        <v>109.86302195729</v>
      </c>
      <c r="OM56" s="704">
        <v>158.87671775343301</v>
      </c>
      <c r="ON56" s="704">
        <v>106.961964789695</v>
      </c>
      <c r="OO56" s="704">
        <v>88.072858249286796</v>
      </c>
      <c r="OP56" s="704">
        <v>143.50913913473599</v>
      </c>
      <c r="OQ56" s="704">
        <v>107.625851270458</v>
      </c>
      <c r="OR56" s="173">
        <v>1158.50595203782</v>
      </c>
      <c r="OT56" s="563" t="s">
        <v>578</v>
      </c>
      <c r="OU56" s="172">
        <v>668.87682700000005</v>
      </c>
      <c r="OV56" s="337">
        <v>420.98017800000002</v>
      </c>
      <c r="OW56" s="337">
        <v>163.31276299999999</v>
      </c>
      <c r="OX56" s="173">
        <v>135.174927</v>
      </c>
      <c r="OY56" s="703">
        <v>685.14295920140387</v>
      </c>
      <c r="OZ56" s="704">
        <v>365.37354671418819</v>
      </c>
      <c r="PA56" s="704">
        <v>153.96762221353461</v>
      </c>
      <c r="PB56" s="173">
        <v>140.56337689523559</v>
      </c>
      <c r="PC56" s="1137">
        <v>541.11013670838815</v>
      </c>
      <c r="PD56" s="1138">
        <v>366.24085777772899</v>
      </c>
      <c r="PE56" s="1138">
        <v>213.27240589315701</v>
      </c>
      <c r="PF56" s="1139">
        <v>211.53209432651408</v>
      </c>
      <c r="PH56" s="563" t="s">
        <v>578</v>
      </c>
      <c r="PI56" s="703">
        <v>208.00320570440019</v>
      </c>
      <c r="PJ56" s="704">
        <v>192.88290931940099</v>
      </c>
      <c r="PK56" s="704">
        <v>101.43212769754599</v>
      </c>
      <c r="PL56" s="173">
        <v>99.626885766563703</v>
      </c>
      <c r="PM56" s="703">
        <v>333.106931003988</v>
      </c>
      <c r="PN56" s="704">
        <v>173.357948458328</v>
      </c>
      <c r="PO56" s="704">
        <v>111.84027819561</v>
      </c>
      <c r="PP56" s="173">
        <v>111.90520855995041</v>
      </c>
      <c r="PQ56" s="65"/>
      <c r="PR56" s="563" t="s">
        <v>578</v>
      </c>
      <c r="PS56" s="1038">
        <v>1.0396025025103299</v>
      </c>
      <c r="PT56" s="1039">
        <v>26.892784815900999</v>
      </c>
      <c r="PU56" s="1039">
        <v>34.693799578614303</v>
      </c>
      <c r="PV56" s="1039">
        <v>22.6026601905203</v>
      </c>
      <c r="PW56" s="1039">
        <v>410.98400759877597</v>
      </c>
      <c r="PX56" s="1040">
        <v>150.81935341549601</v>
      </c>
      <c r="PZ56" s="563" t="s">
        <v>578</v>
      </c>
      <c r="QA56" s="1038">
        <v>420.54104668508501</v>
      </c>
      <c r="QB56" s="1039">
        <v>226.49116141673301</v>
      </c>
      <c r="QC56" s="1039">
        <v>190.97788027647701</v>
      </c>
      <c r="QD56" s="1039">
        <v>3.66467548820015</v>
      </c>
      <c r="QE56" s="1039">
        <v>31.848605652056001</v>
      </c>
      <c r="QF56" s="1040">
        <v>0</v>
      </c>
    </row>
    <row r="57" spans="1:448" ht="13.5" customHeight="1">
      <c r="A57" s="593" t="s">
        <v>522</v>
      </c>
      <c r="B57" s="559" t="s">
        <v>579</v>
      </c>
      <c r="C57" s="1103">
        <v>1348.2247620000001</v>
      </c>
      <c r="D57" s="690">
        <v>1235.9507417686236</v>
      </c>
      <c r="E57" s="691">
        <v>1080.41626968373</v>
      </c>
      <c r="F57" s="428"/>
      <c r="G57" s="563" t="s">
        <v>579</v>
      </c>
      <c r="H57" s="686">
        <f t="shared" si="5"/>
        <v>-1.723931887946073E-2</v>
      </c>
      <c r="I57" s="668">
        <f t="shared" si="6"/>
        <v>-2.654026949113264E-2</v>
      </c>
      <c r="J57" s="612"/>
      <c r="K57" s="63"/>
      <c r="L57" s="559" t="s">
        <v>579</v>
      </c>
      <c r="M57" s="636">
        <v>4</v>
      </c>
      <c r="N57" s="637">
        <v>6</v>
      </c>
      <c r="O57" s="637">
        <v>2</v>
      </c>
      <c r="P57" s="637">
        <v>5</v>
      </c>
      <c r="Q57" s="637">
        <v>8</v>
      </c>
      <c r="R57" s="637">
        <v>5</v>
      </c>
      <c r="S57" s="637">
        <v>8</v>
      </c>
      <c r="T57" s="637">
        <v>4</v>
      </c>
      <c r="U57" s="1138">
        <v>3</v>
      </c>
      <c r="V57" s="1138">
        <v>4</v>
      </c>
      <c r="W57" s="1139">
        <v>8</v>
      </c>
      <c r="X57" s="563" t="s">
        <v>579</v>
      </c>
      <c r="Y57" s="666">
        <v>5</v>
      </c>
      <c r="Z57" s="667">
        <v>3.5</v>
      </c>
      <c r="AA57" s="667">
        <v>6.5</v>
      </c>
      <c r="AB57" s="667">
        <v>6</v>
      </c>
      <c r="AC57" s="667">
        <v>6</v>
      </c>
      <c r="AD57" s="668">
        <v>-0.3</v>
      </c>
      <c r="AE57" s="668">
        <v>0.8571428571428571</v>
      </c>
      <c r="AF57" s="668">
        <v>-7.6923076923076927E-2</v>
      </c>
      <c r="AG57" s="1213">
        <v>0.8571428571428571</v>
      </c>
      <c r="AN57" s="563" t="s">
        <v>579</v>
      </c>
      <c r="AO57" s="636">
        <v>0</v>
      </c>
      <c r="AP57" s="637">
        <v>22.374233</v>
      </c>
      <c r="AQ57" s="637">
        <v>95.401638000000005</v>
      </c>
      <c r="AR57" s="637">
        <v>147.464922</v>
      </c>
      <c r="AS57" s="637">
        <v>161.73611199999999</v>
      </c>
      <c r="AT57" s="637">
        <v>74.502138000000002</v>
      </c>
      <c r="AU57" s="637">
        <v>502.296359</v>
      </c>
      <c r="AV57" s="173">
        <v>204.058457</v>
      </c>
      <c r="AW57" s="636">
        <v>0</v>
      </c>
      <c r="AX57" s="637">
        <v>13.499697849710641</v>
      </c>
      <c r="AY57" s="637">
        <v>75.355392082396037</v>
      </c>
      <c r="AZ57" s="637">
        <v>149.49582240331858</v>
      </c>
      <c r="BA57" s="637">
        <v>127.85916108552308</v>
      </c>
      <c r="BB57" s="637">
        <v>81.395296109990994</v>
      </c>
      <c r="BC57" s="637">
        <v>534.56250225833389</v>
      </c>
      <c r="BD57" s="173">
        <v>102.11573942455566</v>
      </c>
      <c r="BE57" s="1137">
        <v>0</v>
      </c>
      <c r="BF57" s="1138">
        <v>21.0113506396705</v>
      </c>
      <c r="BG57" s="1138">
        <v>55.019963537124603</v>
      </c>
      <c r="BH57" s="1138">
        <v>103.586017948937</v>
      </c>
      <c r="BI57" s="1138">
        <v>114.16262297081001</v>
      </c>
      <c r="BJ57" s="1138">
        <v>58.559315897317603</v>
      </c>
      <c r="BK57" s="1138">
        <v>549.456087383821</v>
      </c>
      <c r="BL57" s="1139">
        <v>85.386484425004895</v>
      </c>
      <c r="BN57" s="563" t="s">
        <v>579</v>
      </c>
      <c r="BO57" s="647">
        <v>146.390894</v>
      </c>
      <c r="BP57" s="648">
        <v>205.61505600000001</v>
      </c>
      <c r="BQ57" s="648">
        <v>157.13151999999999</v>
      </c>
      <c r="BR57" s="648">
        <v>344.93358899999998</v>
      </c>
      <c r="BS57" s="648">
        <v>405.79324000000003</v>
      </c>
      <c r="BT57" s="173">
        <v>88.360462999999996</v>
      </c>
      <c r="BU57" s="647">
        <v>150.66713133630745</v>
      </c>
      <c r="BV57" s="648">
        <v>143.13187873381401</v>
      </c>
      <c r="BW57" s="648">
        <v>157.6686951373199</v>
      </c>
      <c r="BX57" s="648">
        <v>227.7017798384492</v>
      </c>
      <c r="BY57" s="648">
        <v>415.6089611749756</v>
      </c>
      <c r="BZ57" s="173">
        <v>141.1722955477575</v>
      </c>
      <c r="CA57" s="1137">
        <v>85.234418757966594</v>
      </c>
      <c r="CB57" s="1138">
        <v>93.184237647028894</v>
      </c>
      <c r="CC57" s="1138">
        <v>129.05692455393401</v>
      </c>
      <c r="CD57" s="1138">
        <v>184.96390025433001</v>
      </c>
      <c r="CE57" s="1138">
        <v>416.01404119857398</v>
      </c>
      <c r="CF57" s="1139">
        <v>171.962747271898</v>
      </c>
      <c r="CG57" s="429"/>
      <c r="CH57" s="563" t="s">
        <v>579</v>
      </c>
      <c r="CI57" s="172">
        <v>285.37745899999999</v>
      </c>
      <c r="CJ57" s="337">
        <v>768.89520600000003</v>
      </c>
      <c r="CK57" s="337">
        <v>293.95209699999998</v>
      </c>
      <c r="CL57" s="647">
        <v>230.22160390290463</v>
      </c>
      <c r="CM57" s="648">
        <v>629.12980145830579</v>
      </c>
      <c r="CN57" s="648">
        <v>376.59933640741309</v>
      </c>
      <c r="CO57" s="1137">
        <v>130.78205583085401</v>
      </c>
      <c r="CP57" s="1138">
        <v>497.28280081257901</v>
      </c>
      <c r="CQ57" s="1139">
        <v>452.35141304029901</v>
      </c>
      <c r="CR57" s="429"/>
      <c r="DB57" s="426"/>
      <c r="DC57" s="426"/>
      <c r="DD57" s="426"/>
      <c r="DE57" s="426"/>
      <c r="DG57" s="563" t="s">
        <v>579</v>
      </c>
      <c r="DH57" s="1147" t="s">
        <v>768</v>
      </c>
      <c r="DI57" s="1150" t="s">
        <v>746</v>
      </c>
      <c r="DJ57" s="704" t="s">
        <v>980</v>
      </c>
      <c r="DK57" s="704" t="s">
        <v>981</v>
      </c>
      <c r="DL57" s="337" t="s">
        <v>982</v>
      </c>
      <c r="DM57" s="174" t="s">
        <v>983</v>
      </c>
      <c r="DO57" s="559" t="s">
        <v>579</v>
      </c>
      <c r="DP57" s="704">
        <v>580.95911999999998</v>
      </c>
      <c r="DQ57" s="337">
        <v>560.69815082736193</v>
      </c>
      <c r="DR57" s="1139">
        <v>562.54162343596295</v>
      </c>
      <c r="DS57" s="63"/>
      <c r="DT57" s="563" t="s">
        <v>579</v>
      </c>
      <c r="DU57" s="172">
        <v>1302.2248179999999</v>
      </c>
      <c r="DV57" s="337">
        <v>1224.9507503652635</v>
      </c>
      <c r="DW57" s="1139">
        <v>1067.41625648373</v>
      </c>
      <c r="DX57" s="63"/>
      <c r="DY57" s="563" t="s">
        <v>579</v>
      </c>
      <c r="DZ57" s="1089">
        <f t="shared" si="32"/>
        <v>2.2415085212880381</v>
      </c>
      <c r="EA57" s="787">
        <f t="shared" si="33"/>
        <v>2.18468840776046</v>
      </c>
      <c r="EB57" s="776">
        <f t="shared" si="34"/>
        <v>1.897488491543132</v>
      </c>
      <c r="ED57" s="541"/>
      <c r="EE57" s="563" t="s">
        <v>579</v>
      </c>
      <c r="EF57" s="735">
        <v>123.146681</v>
      </c>
      <c r="EG57" s="736">
        <v>3.6440450000000002</v>
      </c>
      <c r="EH57" s="736">
        <v>285.47237799999999</v>
      </c>
      <c r="EI57" s="736">
        <v>133.26468499999999</v>
      </c>
      <c r="EJ57" s="736">
        <v>35.431330000000003</v>
      </c>
      <c r="EK57" s="703">
        <v>139.57692450484396</v>
      </c>
      <c r="EL57" s="704">
        <v>6.7681239777986901</v>
      </c>
      <c r="EM57" s="704">
        <v>252.31316155356515</v>
      </c>
      <c r="EN57" s="704">
        <v>121.42667248528149</v>
      </c>
      <c r="EO57" s="704">
        <v>40.613268305872651</v>
      </c>
      <c r="EP57" s="1137">
        <v>191.15955889252999</v>
      </c>
      <c r="EQ57" s="1138">
        <v>6.6587635727424699</v>
      </c>
      <c r="ER57" s="1138">
        <v>262.78423833584299</v>
      </c>
      <c r="ES57" s="1138">
        <v>74.831652196412705</v>
      </c>
      <c r="ET57" s="1139">
        <v>27.107410438434702</v>
      </c>
      <c r="EV57" s="563" t="s">
        <v>579</v>
      </c>
      <c r="EW57" s="703">
        <v>0</v>
      </c>
      <c r="EX57" s="704">
        <v>32.519916000000002</v>
      </c>
      <c r="EY57" s="704">
        <v>73.737954000000002</v>
      </c>
      <c r="EZ57" s="704">
        <v>14.888814</v>
      </c>
      <c r="FA57" s="703">
        <v>133.93803</v>
      </c>
      <c r="FB57" s="704">
        <v>374.79923200000002</v>
      </c>
      <c r="FC57" s="704">
        <v>607.49724600000002</v>
      </c>
      <c r="FD57" s="704">
        <v>39.599415999999998</v>
      </c>
      <c r="FE57" s="703">
        <v>0</v>
      </c>
      <c r="FF57" s="704">
        <v>6.2867352624615469</v>
      </c>
      <c r="FG57" s="704">
        <v>99.885866630187707</v>
      </c>
      <c r="FH57" s="173">
        <v>30.404324956732911</v>
      </c>
      <c r="FI57" s="703">
        <v>109.03016228909073</v>
      </c>
      <c r="FJ57" s="704">
        <v>305.16295154113311</v>
      </c>
      <c r="FK57" s="746">
        <v>590.54336060884589</v>
      </c>
      <c r="FL57" s="747">
        <v>67.547146152911964</v>
      </c>
      <c r="FM57" s="1137">
        <v>0</v>
      </c>
      <c r="FN57" s="1138">
        <v>16.570066343552099</v>
      </c>
      <c r="FO57" s="1138">
        <v>132.97508528498</v>
      </c>
      <c r="FP57" s="1139">
        <v>40.614406248612397</v>
      </c>
      <c r="FQ57" s="1137">
        <v>60.108991427647702</v>
      </c>
      <c r="FR57" s="1138">
        <v>241.12959967067999</v>
      </c>
      <c r="FS57" s="1138">
        <v>607.75006118747399</v>
      </c>
      <c r="FT57" s="1139">
        <v>75.193187470728901</v>
      </c>
      <c r="FV57" s="559" t="s">
        <v>579</v>
      </c>
      <c r="FW57" s="337">
        <v>295.98788300000001</v>
      </c>
      <c r="FX57" s="337">
        <v>55.617851000000002</v>
      </c>
      <c r="FY57" s="337">
        <v>88.651038</v>
      </c>
      <c r="FZ57" s="173">
        <v>13.911621999999999</v>
      </c>
      <c r="GA57" s="703">
        <v>269.26171709033707</v>
      </c>
      <c r="GB57" s="704">
        <v>57.132572246842791</v>
      </c>
      <c r="GC57" s="704">
        <v>67.688090234644974</v>
      </c>
      <c r="GD57" s="173">
        <v>20.270722772894469</v>
      </c>
      <c r="GE57" s="1137">
        <v>276.30012359228198</v>
      </c>
      <c r="GF57" s="1138">
        <v>48.8387525957218</v>
      </c>
      <c r="GG57" s="1138">
        <v>26.819367478249099</v>
      </c>
      <c r="GH57" s="1139">
        <v>12.7650573044374</v>
      </c>
      <c r="GJ57" s="563" t="s">
        <v>579</v>
      </c>
      <c r="GK57" s="703">
        <v>585.99929399999996</v>
      </c>
      <c r="GL57" s="704">
        <v>584.49956415145232</v>
      </c>
      <c r="GM57" s="1139">
        <v>589.00057119575695</v>
      </c>
      <c r="GO57" s="563" t="s">
        <v>579</v>
      </c>
      <c r="GP57" s="703">
        <v>578.95912299999998</v>
      </c>
      <c r="GQ57" s="704">
        <v>0</v>
      </c>
      <c r="GR57" s="173">
        <v>7.040171</v>
      </c>
      <c r="GS57" s="703">
        <v>557.69815317190012</v>
      </c>
      <c r="GT57" s="704">
        <v>0</v>
      </c>
      <c r="GU57" s="173">
        <v>26.801410979552131</v>
      </c>
      <c r="GV57" s="1137">
        <v>562.54162343596295</v>
      </c>
      <c r="GW57" s="1138">
        <v>3.57074607901479</v>
      </c>
      <c r="GX57" s="1139">
        <v>22.888201680779201</v>
      </c>
      <c r="GZ57" s="563" t="s">
        <v>579</v>
      </c>
      <c r="HA57" s="703">
        <v>569.15647200000001</v>
      </c>
      <c r="HB57" s="704">
        <v>16.842821000000001</v>
      </c>
      <c r="HC57" s="173">
        <f t="shared" si="7"/>
        <v>9.9999999747524271E-7</v>
      </c>
      <c r="HD57" s="703">
        <v>572.12319361126458</v>
      </c>
      <c r="HE57" s="704">
        <v>12.376370540187713</v>
      </c>
      <c r="HF57" s="173">
        <f t="shared" si="8"/>
        <v>0</v>
      </c>
      <c r="HG57" s="583">
        <v>580.00056205729197</v>
      </c>
      <c r="HH57" s="1138">
        <v>9.0000091384651704</v>
      </c>
      <c r="HI57" s="173">
        <f t="shared" si="9"/>
        <v>0</v>
      </c>
      <c r="HK57" s="563" t="s">
        <v>579</v>
      </c>
      <c r="HL57" s="704">
        <v>578.95912299999998</v>
      </c>
      <c r="HM57" s="704">
        <v>2752.673824</v>
      </c>
      <c r="HN57" s="776">
        <f t="shared" si="10"/>
        <v>4.7545218904858677</v>
      </c>
      <c r="HO57" s="703">
        <v>557.69815317190012</v>
      </c>
      <c r="HP57" s="704">
        <v>2527.664056275969</v>
      </c>
      <c r="HQ57" s="776">
        <f t="shared" si="11"/>
        <v>4.5323156297002534</v>
      </c>
      <c r="HR57" s="1138">
        <v>562.54162343596295</v>
      </c>
      <c r="HS57" s="1138">
        <v>2559.2395152130498</v>
      </c>
      <c r="HT57" s="784">
        <f t="shared" si="12"/>
        <v>4.5494224935417273</v>
      </c>
      <c r="HV57" s="563" t="s">
        <v>579</v>
      </c>
      <c r="HW57" s="172">
        <v>562.11630100000002</v>
      </c>
      <c r="HX57" s="337">
        <v>2674.459711</v>
      </c>
      <c r="HY57" s="787">
        <f t="shared" si="13"/>
        <v>4.7578405149293115</v>
      </c>
      <c r="HZ57" s="704">
        <v>16.842821000000001</v>
      </c>
      <c r="IA57" s="704">
        <v>78.214112999999998</v>
      </c>
      <c r="IB57" s="787">
        <f t="shared" si="14"/>
        <v>4.6437656138481787</v>
      </c>
      <c r="IC57" s="703">
        <v>548.69816020551468</v>
      </c>
      <c r="ID57" s="704">
        <v>2486.6640883179907</v>
      </c>
      <c r="IE57" s="787">
        <f t="shared" si="15"/>
        <v>4.531934438028026</v>
      </c>
      <c r="IF57" s="704">
        <v>8.9999929663854203</v>
      </c>
      <c r="IG57" s="704">
        <v>40.999967957978029</v>
      </c>
      <c r="IH57" s="776">
        <f t="shared" si="16"/>
        <v>4.5555555555555562</v>
      </c>
      <c r="II57" s="1137">
        <v>553.54161429749797</v>
      </c>
      <c r="IJ57" s="1138">
        <v>2522.2394776438</v>
      </c>
      <c r="IK57" s="1170">
        <f t="shared" si="17"/>
        <v>4.5565489793297385</v>
      </c>
      <c r="IL57" s="1138">
        <v>9.0000091384651704</v>
      </c>
      <c r="IM57" s="1138">
        <v>37.000037569245698</v>
      </c>
      <c r="IN57" s="1171">
        <f t="shared" si="18"/>
        <v>4.1111111111111107</v>
      </c>
      <c r="IP57" s="563" t="s">
        <v>579</v>
      </c>
      <c r="IQ57" s="172">
        <v>0</v>
      </c>
      <c r="IR57" s="704">
        <v>0</v>
      </c>
      <c r="IS57" s="704">
        <v>22.350436999999999</v>
      </c>
      <c r="IT57" s="704">
        <v>223.53098600000001</v>
      </c>
      <c r="IU57" s="704">
        <v>333.07769999999999</v>
      </c>
      <c r="IV57" s="704">
        <v>2752.673824</v>
      </c>
      <c r="IW57" s="703">
        <v>0</v>
      </c>
      <c r="IX57" s="704">
        <v>0</v>
      </c>
      <c r="IY57" s="704">
        <v>20.373953739951961</v>
      </c>
      <c r="IZ57" s="704">
        <v>280.43549505047366</v>
      </c>
      <c r="JA57" s="704">
        <v>256.8887043814745</v>
      </c>
      <c r="JB57" s="173">
        <v>2527.664056275969</v>
      </c>
      <c r="JC57" s="1137">
        <v>0</v>
      </c>
      <c r="JD57" s="1138">
        <v>3.4374004381280701</v>
      </c>
      <c r="JE57" s="1138">
        <v>41.356704135658497</v>
      </c>
      <c r="JF57" s="1138">
        <v>248.726078615147</v>
      </c>
      <c r="JG57" s="1138">
        <v>269.02144024702898</v>
      </c>
      <c r="JH57" s="1139">
        <v>2559.2395152130498</v>
      </c>
      <c r="JJ57" s="563" t="s">
        <v>579</v>
      </c>
      <c r="JK57" s="172">
        <v>524.57087100000001</v>
      </c>
      <c r="JL57" s="337">
        <v>32.505265000000001</v>
      </c>
      <c r="JM57" s="337">
        <v>0</v>
      </c>
      <c r="JN57" s="173">
        <v>21.882985999999999</v>
      </c>
      <c r="JO57" s="703">
        <v>525.06821707367953</v>
      </c>
      <c r="JP57" s="704">
        <v>23.62994313183524</v>
      </c>
      <c r="JQ57" s="704">
        <v>0</v>
      </c>
      <c r="JR57" s="173">
        <v>8.9999929663854203</v>
      </c>
      <c r="JS57" s="1137">
        <v>524.10021361806105</v>
      </c>
      <c r="JT57" s="1138">
        <v>27.989199301617099</v>
      </c>
      <c r="JU57" s="1138">
        <v>0</v>
      </c>
      <c r="JV57" s="1139">
        <v>10.4522105162846</v>
      </c>
      <c r="JX57" s="563" t="s">
        <v>579</v>
      </c>
      <c r="JY57" s="703">
        <v>8.8896058774876092</v>
      </c>
      <c r="JZ57" s="704">
        <v>54.851809090006</v>
      </c>
      <c r="KA57" s="704">
        <v>47.6003288667738</v>
      </c>
      <c r="KB57" s="173">
        <v>451.19987960169499</v>
      </c>
      <c r="KC57" s="603"/>
      <c r="KD57" s="563" t="s">
        <v>579</v>
      </c>
      <c r="KE57" s="703">
        <v>0</v>
      </c>
      <c r="KF57" s="704">
        <v>0</v>
      </c>
      <c r="KG57" s="704">
        <v>0</v>
      </c>
      <c r="KH57" s="704">
        <v>9.0000091384651704</v>
      </c>
      <c r="KI57" s="704">
        <v>0</v>
      </c>
      <c r="KJ57" s="173">
        <v>0</v>
      </c>
      <c r="KK57" s="703">
        <v>0</v>
      </c>
      <c r="KL57" s="704">
        <v>0</v>
      </c>
      <c r="KM57" s="704">
        <v>27.6532038598742</v>
      </c>
      <c r="KN57" s="704">
        <v>511.01745492685302</v>
      </c>
      <c r="KO57" s="704">
        <v>7.8748018916411597</v>
      </c>
      <c r="KP57" s="173">
        <v>6.9961536191287799</v>
      </c>
      <c r="KQ57" s="703">
        <v>0</v>
      </c>
      <c r="KR57" s="704">
        <v>0</v>
      </c>
      <c r="KS57" s="704">
        <v>27.6532038598742</v>
      </c>
      <c r="KT57" s="704">
        <v>520.01746406531902</v>
      </c>
      <c r="KU57" s="704">
        <v>7.8748018916411597</v>
      </c>
      <c r="KV57" s="173">
        <v>6.9961536191287799</v>
      </c>
      <c r="KW57" s="429"/>
      <c r="KX57" s="563" t="s">
        <v>579</v>
      </c>
      <c r="KY57" s="172">
        <f t="shared" si="35"/>
        <v>48.01816800000006</v>
      </c>
      <c r="KZ57" s="337">
        <v>291.99651399999999</v>
      </c>
      <c r="LA57" s="173">
        <v>240.94443799999999</v>
      </c>
      <c r="LB57" s="172">
        <f t="shared" si="36"/>
        <v>63.762482714228099</v>
      </c>
      <c r="LC57" s="704">
        <v>260.55429440133696</v>
      </c>
      <c r="LD57" s="173">
        <v>236.3813737117969</v>
      </c>
      <c r="LE57" s="172">
        <f t="shared" si="37"/>
        <v>50.730921800582905</v>
      </c>
      <c r="LF57" s="1138">
        <v>318.85944810570601</v>
      </c>
      <c r="LG57" s="1139">
        <v>192.95125352967401</v>
      </c>
      <c r="LH57" s="426"/>
      <c r="LI57" s="563" t="s">
        <v>579</v>
      </c>
      <c r="LJ57" s="172">
        <v>497.87827499999997</v>
      </c>
      <c r="LK57" s="337">
        <v>476.72183899999999</v>
      </c>
      <c r="LL57" s="337">
        <v>21.156435999999999</v>
      </c>
      <c r="LM57" s="337">
        <v>145.258714</v>
      </c>
      <c r="LN57" s="337">
        <v>225.490621</v>
      </c>
      <c r="LO57" s="173">
        <v>39.254161000000003</v>
      </c>
      <c r="LP57" s="703">
        <v>450.41742506453858</v>
      </c>
      <c r="LQ57" s="704">
        <v>411.17655889526537</v>
      </c>
      <c r="LR57" s="704">
        <v>39.240866169273247</v>
      </c>
      <c r="LS57" s="704">
        <v>76.597282864121127</v>
      </c>
      <c r="LT57" s="704">
        <v>161.35491489359919</v>
      </c>
      <c r="LU57" s="173">
        <v>20.314651202644097</v>
      </c>
      <c r="LV57" s="1137">
        <v>359.22626527028899</v>
      </c>
      <c r="LW57" s="1138">
        <v>319.594220778862</v>
      </c>
      <c r="LX57" s="1138">
        <v>39.632044491426903</v>
      </c>
      <c r="LY57" s="1138">
        <v>45.4175509734551</v>
      </c>
      <c r="LZ57" s="1138">
        <v>117.519003042958</v>
      </c>
      <c r="MA57" s="1139">
        <v>20.6676185987636</v>
      </c>
      <c r="MC57" s="563" t="s">
        <v>579</v>
      </c>
      <c r="MD57" s="172">
        <v>0</v>
      </c>
      <c r="ME57" s="337">
        <v>22.374233</v>
      </c>
      <c r="MF57" s="337">
        <v>95.401638000000005</v>
      </c>
      <c r="MG57" s="337">
        <v>133.52800099999999</v>
      </c>
      <c r="MH57" s="337">
        <v>154.51659699999999</v>
      </c>
      <c r="MI57" s="173">
        <v>70.901369000000003</v>
      </c>
      <c r="MJ57" s="703">
        <v>0</v>
      </c>
      <c r="MK57" s="704">
        <v>10.10794880703218</v>
      </c>
      <c r="ML57" s="704">
        <v>75.355392082396037</v>
      </c>
      <c r="MM57" s="704">
        <v>146.10407336064011</v>
      </c>
      <c r="MN57" s="704">
        <v>114.3839961358548</v>
      </c>
      <c r="MO57" s="173">
        <v>71.225143820265814</v>
      </c>
      <c r="MP57" s="1137">
        <v>0</v>
      </c>
      <c r="MQ57" s="1138">
        <v>14.427975600499799</v>
      </c>
      <c r="MR57" s="1138">
        <v>51.582563098996502</v>
      </c>
      <c r="MS57" s="1138">
        <v>97.265744131862405</v>
      </c>
      <c r="MT57" s="1138">
        <v>104.199808226508</v>
      </c>
      <c r="MU57" s="1139">
        <v>52.118129720995398</v>
      </c>
      <c r="MW57" s="563" t="s">
        <v>579</v>
      </c>
      <c r="MX57" s="172">
        <v>483.94135399999999</v>
      </c>
      <c r="MY57" s="337">
        <v>450.29222199999998</v>
      </c>
      <c r="MZ57" s="337">
        <v>33.649130999999997</v>
      </c>
      <c r="NA57" s="703">
        <v>411.17655889526537</v>
      </c>
      <c r="NB57" s="704">
        <v>390.93948528287245</v>
      </c>
      <c r="NC57" s="173">
        <v>20.237073612392869</v>
      </c>
      <c r="ND57" s="1137">
        <v>319.594220778862</v>
      </c>
      <c r="NE57" s="1138">
        <v>301.74652393279399</v>
      </c>
      <c r="NF57" s="1139">
        <v>17.847696846068299</v>
      </c>
      <c r="NH57" s="563" t="s">
        <v>579</v>
      </c>
      <c r="NI57" s="703">
        <v>349.50773336828138</v>
      </c>
      <c r="NJ57" s="173">
        <v>41.431751914591118</v>
      </c>
      <c r="NK57" s="703">
        <v>16.878973730216011</v>
      </c>
      <c r="NL57" s="704">
        <v>3.3580998821768602</v>
      </c>
      <c r="NM57" s="173">
        <v>0</v>
      </c>
      <c r="NN57" s="1137">
        <v>264.44938384187498</v>
      </c>
      <c r="NO57" s="1139">
        <v>37.297140090919498</v>
      </c>
      <c r="NP57" s="1137">
        <v>14.41913600422</v>
      </c>
      <c r="NQ57" s="1138">
        <v>3.4285608418483</v>
      </c>
      <c r="NR57" s="1139">
        <v>0</v>
      </c>
      <c r="NS57" s="136"/>
      <c r="NT57" s="563" t="s">
        <v>579</v>
      </c>
      <c r="NU57" s="703">
        <v>13.517972902654011</v>
      </c>
      <c r="NV57" s="704">
        <v>16.848638939403379</v>
      </c>
      <c r="NW57" s="704">
        <v>3.3580998821768602</v>
      </c>
      <c r="NX57" s="173">
        <v>7.707040190356869</v>
      </c>
      <c r="NY57" s="1137">
        <v>17.4660795049498</v>
      </c>
      <c r="NZ57" s="1138">
        <v>19.831060585969698</v>
      </c>
      <c r="OA57" s="1138">
        <v>0</v>
      </c>
      <c r="OB57" s="1139">
        <v>0</v>
      </c>
      <c r="OC57" s="553"/>
      <c r="OD57" s="563" t="s">
        <v>579</v>
      </c>
      <c r="OE57" s="703">
        <v>26.5513822027503</v>
      </c>
      <c r="OF57" s="704">
        <v>29.9116415388192</v>
      </c>
      <c r="OG57" s="704">
        <v>18.349284997030601</v>
      </c>
      <c r="OH57" s="704">
        <v>17.890335083701299</v>
      </c>
      <c r="OI57" s="704">
        <v>35.552468589471601</v>
      </c>
      <c r="OJ57" s="704">
        <v>0</v>
      </c>
      <c r="OK57" s="173">
        <v>9.9119230019532694</v>
      </c>
      <c r="OL57" s="703">
        <v>31.0165430589484</v>
      </c>
      <c r="OM57" s="704">
        <v>29.9116415388192</v>
      </c>
      <c r="ON57" s="704">
        <v>18.349284997030601</v>
      </c>
      <c r="OO57" s="704">
        <v>17.890335083701299</v>
      </c>
      <c r="OP57" s="704">
        <v>53.2186675131816</v>
      </c>
      <c r="OQ57" s="704">
        <v>22.075235050145999</v>
      </c>
      <c r="OR57" s="173">
        <v>901.99761327873603</v>
      </c>
      <c r="OT57" s="563" t="s">
        <v>579</v>
      </c>
      <c r="OU57" s="172">
        <v>366.55919999999998</v>
      </c>
      <c r="OV57" s="337">
        <v>348.14531099999999</v>
      </c>
      <c r="OW57" s="337">
        <v>156.29129</v>
      </c>
      <c r="OX57" s="173">
        <v>158.79685000000001</v>
      </c>
      <c r="OY57" s="703">
        <v>367.20714325897336</v>
      </c>
      <c r="OZ57" s="704">
        <v>284.41739611610672</v>
      </c>
      <c r="PA57" s="704">
        <v>144.91907549770031</v>
      </c>
      <c r="PB57" s="173">
        <v>179.02807351216782</v>
      </c>
      <c r="PC57" s="1137">
        <v>275.54830405532118</v>
      </c>
      <c r="PD57" s="1138">
        <v>329.58690323111801</v>
      </c>
      <c r="PE57" s="1138">
        <v>127.08420014730901</v>
      </c>
      <c r="PF57" s="1139">
        <v>199.6077168168909</v>
      </c>
      <c r="PH57" s="563" t="s">
        <v>579</v>
      </c>
      <c r="PI57" s="703">
        <v>80.048664654134711</v>
      </c>
      <c r="PJ57" s="704">
        <v>185.12593007831899</v>
      </c>
      <c r="PK57" s="704">
        <v>59.312156549110298</v>
      </c>
      <c r="PL57" s="173">
        <v>91.662904299112483</v>
      </c>
      <c r="PM57" s="703">
        <v>195.4996394011869</v>
      </c>
      <c r="PN57" s="704">
        <v>144.460973152799</v>
      </c>
      <c r="PO57" s="704">
        <v>67.772043598198394</v>
      </c>
      <c r="PP57" s="173">
        <v>107.9448125177788</v>
      </c>
      <c r="PQ57" s="65"/>
      <c r="PR57" s="563" t="s">
        <v>579</v>
      </c>
      <c r="PS57" s="1038">
        <v>9.4415233663819507</v>
      </c>
      <c r="PT57" s="1039">
        <v>25.7223985871432</v>
      </c>
      <c r="PU57" s="1039">
        <v>6.9993105465451597</v>
      </c>
      <c r="PV57" s="1039">
        <v>3.4285608418483</v>
      </c>
      <c r="PW57" s="1039">
        <v>237.21935024346499</v>
      </c>
      <c r="PX57" s="1040">
        <v>36.783077193478498</v>
      </c>
      <c r="PZ57" s="563" t="s">
        <v>579</v>
      </c>
      <c r="QA57" s="1038">
        <v>213.47038413969901</v>
      </c>
      <c r="QB57" s="1039">
        <v>106.123836639164</v>
      </c>
      <c r="QC57" s="1039">
        <v>95.090103714256301</v>
      </c>
      <c r="QD57" s="1039">
        <v>6.58337503917073</v>
      </c>
      <c r="QE57" s="1039">
        <v>4.4503578857366399</v>
      </c>
      <c r="QF57" s="1040">
        <v>0</v>
      </c>
    </row>
    <row r="58" spans="1:448" ht="13.5" customHeight="1">
      <c r="A58" s="593" t="s">
        <v>523</v>
      </c>
      <c r="B58" s="559" t="s">
        <v>580</v>
      </c>
      <c r="C58" s="1103">
        <v>1977.165808</v>
      </c>
      <c r="D58" s="690">
        <v>2066.4440514283287</v>
      </c>
      <c r="E58" s="691">
        <v>2201.8199490582701</v>
      </c>
      <c r="F58" s="428"/>
      <c r="G58" s="563" t="s">
        <v>580</v>
      </c>
      <c r="H58" s="686">
        <f t="shared" si="5"/>
        <v>8.8721001057543436E-3</v>
      </c>
      <c r="I58" s="668">
        <f t="shared" si="6"/>
        <v>1.2771869948596137E-2</v>
      </c>
      <c r="J58" s="612"/>
      <c r="K58" s="63"/>
      <c r="L58" s="559" t="s">
        <v>580</v>
      </c>
      <c r="M58" s="636">
        <v>17</v>
      </c>
      <c r="N58" s="637">
        <v>30</v>
      </c>
      <c r="O58" s="637">
        <v>24</v>
      </c>
      <c r="P58" s="637">
        <v>17</v>
      </c>
      <c r="Q58" s="637">
        <v>23</v>
      </c>
      <c r="R58" s="637">
        <v>18</v>
      </c>
      <c r="S58" s="637">
        <v>28</v>
      </c>
      <c r="T58" s="637">
        <v>24</v>
      </c>
      <c r="U58" s="1138">
        <v>25</v>
      </c>
      <c r="V58" s="1138">
        <v>23</v>
      </c>
      <c r="W58" s="1139">
        <v>17</v>
      </c>
      <c r="X58" s="563" t="s">
        <v>580</v>
      </c>
      <c r="Y58" s="666">
        <v>23.5</v>
      </c>
      <c r="Z58" s="667">
        <v>20.5</v>
      </c>
      <c r="AA58" s="667">
        <v>20.5</v>
      </c>
      <c r="AB58" s="667">
        <v>26</v>
      </c>
      <c r="AC58" s="667">
        <v>26</v>
      </c>
      <c r="AD58" s="668">
        <v>-0.1276595744680851</v>
      </c>
      <c r="AE58" s="668">
        <v>0</v>
      </c>
      <c r="AF58" s="668">
        <v>0.26829268292682928</v>
      </c>
      <c r="AG58" s="1213">
        <v>0</v>
      </c>
      <c r="AN58" s="563" t="s">
        <v>580</v>
      </c>
      <c r="AO58" s="636">
        <v>0</v>
      </c>
      <c r="AP58" s="637">
        <v>25.483938999999999</v>
      </c>
      <c r="AQ58" s="637">
        <v>49.022145999999999</v>
      </c>
      <c r="AR58" s="637">
        <v>264.17384499999997</v>
      </c>
      <c r="AS58" s="637">
        <v>369.82611200000002</v>
      </c>
      <c r="AT58" s="637">
        <v>276.06229200000001</v>
      </c>
      <c r="AU58" s="637">
        <v>324.60195700000003</v>
      </c>
      <c r="AV58" s="173">
        <v>282.60132499999997</v>
      </c>
      <c r="AW58" s="636">
        <v>0</v>
      </c>
      <c r="AX58" s="637">
        <v>35.975596506378771</v>
      </c>
      <c r="AY58" s="637">
        <v>68.680142277430093</v>
      </c>
      <c r="AZ58" s="637">
        <v>195.65470723432969</v>
      </c>
      <c r="BA58" s="637">
        <v>322.25140198511218</v>
      </c>
      <c r="BB58" s="637">
        <v>315.0101060429144</v>
      </c>
      <c r="BC58" s="637">
        <v>574.40177022675527</v>
      </c>
      <c r="BD58" s="173">
        <v>199.47352733175688</v>
      </c>
      <c r="BE58" s="1137">
        <v>0</v>
      </c>
      <c r="BF58" s="1138">
        <v>27.0856608522352</v>
      </c>
      <c r="BG58" s="1138">
        <v>85.518521268670497</v>
      </c>
      <c r="BH58" s="1138">
        <v>237.31914931903501</v>
      </c>
      <c r="BI58" s="1138">
        <v>357.12880322370802</v>
      </c>
      <c r="BJ58" s="1138">
        <v>210.08351397498299</v>
      </c>
      <c r="BK58" s="1138">
        <v>620.00952419133205</v>
      </c>
      <c r="BL58" s="1139">
        <v>290.208642402169</v>
      </c>
      <c r="BN58" s="563" t="s">
        <v>580</v>
      </c>
      <c r="BO58" s="647">
        <v>388.39418799999999</v>
      </c>
      <c r="BP58" s="648">
        <v>441.77098799999999</v>
      </c>
      <c r="BQ58" s="648">
        <v>390.55588799999998</v>
      </c>
      <c r="BR58" s="648">
        <v>441.28929499999998</v>
      </c>
      <c r="BS58" s="648">
        <v>236.79699099999999</v>
      </c>
      <c r="BT58" s="173">
        <v>78.358458999999996</v>
      </c>
      <c r="BU58" s="647">
        <v>350.99680294970238</v>
      </c>
      <c r="BV58" s="648">
        <v>386.11837335082981</v>
      </c>
      <c r="BW58" s="648">
        <v>313.17096933297319</v>
      </c>
      <c r="BX58" s="648">
        <v>411.51629161524329</v>
      </c>
      <c r="BY58" s="648">
        <v>408.85718911306338</v>
      </c>
      <c r="BZ58" s="173">
        <v>195.78442506651686</v>
      </c>
      <c r="CA58" s="1137">
        <v>374.46613382613299</v>
      </c>
      <c r="CB58" s="1138">
        <v>426.67387007589502</v>
      </c>
      <c r="CC58" s="1138">
        <v>347.82376355317598</v>
      </c>
      <c r="CD58" s="1138">
        <v>403.61435079571697</v>
      </c>
      <c r="CE58" s="1138">
        <v>403.247580420605</v>
      </c>
      <c r="CF58" s="1139">
        <v>245.99425038673999</v>
      </c>
      <c r="CG58" s="429"/>
      <c r="CH58" s="563" t="s">
        <v>580</v>
      </c>
      <c r="CI58" s="172">
        <v>585.77899100000002</v>
      </c>
      <c r="CJ58" s="337">
        <v>1205.21102</v>
      </c>
      <c r="CK58" s="337">
        <v>186.17579799999999</v>
      </c>
      <c r="CL58" s="647">
        <v>513.27614272881829</v>
      </c>
      <c r="CM58" s="648">
        <v>1102.2451267722815</v>
      </c>
      <c r="CN58" s="648">
        <v>450.92278192722898</v>
      </c>
      <c r="CO58" s="1137">
        <v>568.59558890057497</v>
      </c>
      <c r="CP58" s="1138">
        <v>1079.73937832161</v>
      </c>
      <c r="CQ58" s="1139">
        <v>553.48498183607603</v>
      </c>
      <c r="CR58" s="429"/>
      <c r="DB58" s="426"/>
      <c r="DC58" s="426"/>
      <c r="DD58" s="426"/>
      <c r="DE58" s="426"/>
      <c r="DG58" s="563" t="s">
        <v>580</v>
      </c>
      <c r="DH58" s="1147" t="s">
        <v>769</v>
      </c>
      <c r="DI58" s="1150" t="s">
        <v>984</v>
      </c>
      <c r="DJ58" s="704" t="s">
        <v>985</v>
      </c>
      <c r="DK58" s="704" t="s">
        <v>986</v>
      </c>
      <c r="DL58" s="337" t="s">
        <v>851</v>
      </c>
      <c r="DM58" s="174" t="s">
        <v>877</v>
      </c>
      <c r="DO58" s="559" t="s">
        <v>580</v>
      </c>
      <c r="DP58" s="704">
        <v>815.71108200000003</v>
      </c>
      <c r="DQ58" s="337">
        <v>902.28773137751284</v>
      </c>
      <c r="DR58" s="1139">
        <v>981.33422280602701</v>
      </c>
      <c r="DS58" s="63"/>
      <c r="DT58" s="563" t="s">
        <v>580</v>
      </c>
      <c r="DU58" s="172">
        <v>1936.1658580000001</v>
      </c>
      <c r="DV58" s="337">
        <v>2018.44408894094</v>
      </c>
      <c r="DW58" s="1139">
        <v>2161.8199084428602</v>
      </c>
      <c r="DX58" s="63"/>
      <c r="DY58" s="563" t="s">
        <v>580</v>
      </c>
      <c r="DZ58" s="1089">
        <f t="shared" si="32"/>
        <v>2.3735926858475609</v>
      </c>
      <c r="EA58" s="787">
        <f t="shared" si="33"/>
        <v>2.2370292964744221</v>
      </c>
      <c r="EB58" s="776">
        <f t="shared" si="34"/>
        <v>2.2029394860614895</v>
      </c>
      <c r="ED58" s="541"/>
      <c r="EE58" s="563" t="s">
        <v>580</v>
      </c>
      <c r="EF58" s="735">
        <v>252.56139899999999</v>
      </c>
      <c r="EG58" s="736">
        <v>11.400981</v>
      </c>
      <c r="EH58" s="736">
        <v>208.43893800000001</v>
      </c>
      <c r="EI58" s="736">
        <v>228.74309299999999</v>
      </c>
      <c r="EJ58" s="736">
        <v>114.566671</v>
      </c>
      <c r="EK58" s="703">
        <v>267.00036742255287</v>
      </c>
      <c r="EL58" s="704">
        <v>14.403000990083131</v>
      </c>
      <c r="EM58" s="704">
        <v>322.56697378483562</v>
      </c>
      <c r="EN58" s="704">
        <v>211.6221608910931</v>
      </c>
      <c r="EO58" s="704">
        <v>86.695228288948186</v>
      </c>
      <c r="EP58" s="1137">
        <v>332.54116866530001</v>
      </c>
      <c r="EQ58" s="1138">
        <v>9.8053492210911699</v>
      </c>
      <c r="ER58" s="1138">
        <v>312.01117027339501</v>
      </c>
      <c r="ES58" s="1138">
        <v>234.19521818455601</v>
      </c>
      <c r="ET58" s="1139">
        <v>92.781316461685194</v>
      </c>
      <c r="EV58" s="563" t="s">
        <v>580</v>
      </c>
      <c r="EW58" s="703">
        <v>22.804542000000001</v>
      </c>
      <c r="EX58" s="704">
        <v>122.024479</v>
      </c>
      <c r="EY58" s="704">
        <v>92.312257000000002</v>
      </c>
      <c r="EZ58" s="704">
        <v>15.420120000000001</v>
      </c>
      <c r="FA58" s="703">
        <v>297.89458200000001</v>
      </c>
      <c r="FB58" s="704">
        <v>789.76484900000003</v>
      </c>
      <c r="FC58" s="704">
        <v>435.672121</v>
      </c>
      <c r="FD58" s="704">
        <v>24.440118999999999</v>
      </c>
      <c r="FE58" s="703">
        <v>36.089009450590659</v>
      </c>
      <c r="FF58" s="704">
        <v>73.172367371026681</v>
      </c>
      <c r="FG58" s="704">
        <v>116.36546892044208</v>
      </c>
      <c r="FH58" s="173">
        <v>43.373520117467997</v>
      </c>
      <c r="FI58" s="703">
        <v>255.91366018870281</v>
      </c>
      <c r="FJ58" s="704">
        <v>665.45811982504244</v>
      </c>
      <c r="FK58" s="746">
        <v>661.20652255729931</v>
      </c>
      <c r="FL58" s="747">
        <v>86.868981857167512</v>
      </c>
      <c r="FM58" s="1137">
        <v>49.407195334510199</v>
      </c>
      <c r="FN58" s="1138">
        <v>108.976808655558</v>
      </c>
      <c r="FO58" s="1138">
        <v>105.18115362218001</v>
      </c>
      <c r="FP58" s="1139">
        <v>68.976011053051295</v>
      </c>
      <c r="FQ58" s="1137">
        <v>283.56155799988102</v>
      </c>
      <c r="FR58" s="1138">
        <v>725.36768888622805</v>
      </c>
      <c r="FS58" s="1138">
        <v>633.231048920337</v>
      </c>
      <c r="FT58" s="1139">
        <v>147.19348084105599</v>
      </c>
      <c r="FV58" s="559" t="s">
        <v>580</v>
      </c>
      <c r="FW58" s="337">
        <v>226.392551</v>
      </c>
      <c r="FX58" s="337">
        <v>151.42614599999999</v>
      </c>
      <c r="FY58" s="337">
        <v>109.455787</v>
      </c>
      <c r="FZ58" s="173">
        <v>70.555554999999998</v>
      </c>
      <c r="GA58" s="703">
        <v>351.47701060419911</v>
      </c>
      <c r="GB58" s="704">
        <v>91.542512884906657</v>
      </c>
      <c r="GC58" s="704">
        <v>126.2419287067534</v>
      </c>
      <c r="GD58" s="173">
        <v>51.622910769017693</v>
      </c>
      <c r="GE58" s="1137">
        <v>338.30733401075003</v>
      </c>
      <c r="GF58" s="1138">
        <v>116.22134281476499</v>
      </c>
      <c r="GG58" s="1138">
        <v>125.586847944851</v>
      </c>
      <c r="GH58" s="1139">
        <v>58.872180149269795</v>
      </c>
      <c r="GJ58" s="563" t="s">
        <v>580</v>
      </c>
      <c r="GK58" s="703">
        <v>831.49900500000001</v>
      </c>
      <c r="GL58" s="704">
        <v>943.99929328707435</v>
      </c>
      <c r="GM58" s="1139">
        <v>1039.0009974464399</v>
      </c>
      <c r="GO58" s="563" t="s">
        <v>580</v>
      </c>
      <c r="GP58" s="703">
        <v>815.71108200000003</v>
      </c>
      <c r="GQ58" s="704">
        <v>3.9250949999999998</v>
      </c>
      <c r="GR58" s="173">
        <v>11.862826999999999</v>
      </c>
      <c r="GS58" s="703">
        <v>904.28772981448742</v>
      </c>
      <c r="GT58" s="704">
        <v>0</v>
      </c>
      <c r="GU58" s="173">
        <v>39.711563472586867</v>
      </c>
      <c r="GV58" s="1137">
        <v>982.33422382141202</v>
      </c>
      <c r="GW58" s="1138">
        <v>9.7498565744834096</v>
      </c>
      <c r="GX58" s="1139">
        <v>46.916917050546097</v>
      </c>
      <c r="GZ58" s="563" t="s">
        <v>580</v>
      </c>
      <c r="HA58" s="703">
        <v>502.33711499999998</v>
      </c>
      <c r="HB58" s="704">
        <v>328.277466</v>
      </c>
      <c r="HC58" s="173">
        <f t="shared" si="7"/>
        <v>0.88442399999996724</v>
      </c>
      <c r="HD58" s="703">
        <v>692.73807181364589</v>
      </c>
      <c r="HE58" s="704">
        <v>251.26122147342841</v>
      </c>
      <c r="HF58" s="173">
        <f t="shared" si="8"/>
        <v>0</v>
      </c>
      <c r="HG58" s="583">
        <v>715.00594640326096</v>
      </c>
      <c r="HH58" s="1138">
        <v>323.99505104318001</v>
      </c>
      <c r="HI58" s="173">
        <f t="shared" si="9"/>
        <v>0</v>
      </c>
      <c r="HK58" s="563" t="s">
        <v>580</v>
      </c>
      <c r="HL58" s="704">
        <v>815.71108200000003</v>
      </c>
      <c r="HM58" s="704">
        <v>3181.9242650000001</v>
      </c>
      <c r="HN58" s="776">
        <f t="shared" si="10"/>
        <v>3.9007981321013854</v>
      </c>
      <c r="HO58" s="703">
        <v>904.28772981448742</v>
      </c>
      <c r="HP58" s="704">
        <v>3696.1091152744953</v>
      </c>
      <c r="HQ58" s="776">
        <f t="shared" si="11"/>
        <v>4.0873153460046874</v>
      </c>
      <c r="HR58" s="1138">
        <v>982.33422382141202</v>
      </c>
      <c r="HS58" s="1138">
        <v>3941.4997433746598</v>
      </c>
      <c r="HT58" s="784">
        <f t="shared" si="12"/>
        <v>4.012381578279637</v>
      </c>
      <c r="HV58" s="563" t="s">
        <v>580</v>
      </c>
      <c r="HW58" s="172">
        <v>499.29644300000001</v>
      </c>
      <c r="HX58" s="337">
        <v>2309.089332</v>
      </c>
      <c r="HY58" s="787">
        <f t="shared" si="13"/>
        <v>4.6246861245915181</v>
      </c>
      <c r="HZ58" s="704">
        <v>316.41463900000002</v>
      </c>
      <c r="IA58" s="704">
        <v>872.83493299999998</v>
      </c>
      <c r="IB58" s="787">
        <f t="shared" si="14"/>
        <v>2.7585162802786756</v>
      </c>
      <c r="IC58" s="703">
        <v>681.99180544754677</v>
      </c>
      <c r="ID58" s="704">
        <v>3117.5645618316762</v>
      </c>
      <c r="IE58" s="787">
        <f t="shared" si="15"/>
        <v>4.5712639608416143</v>
      </c>
      <c r="IF58" s="704">
        <v>222.29592436694068</v>
      </c>
      <c r="IG58" s="704">
        <v>578.54455344281939</v>
      </c>
      <c r="IH58" s="776">
        <f t="shared" si="16"/>
        <v>2.6025873172907312</v>
      </c>
      <c r="II58" s="1137">
        <v>699.49209229833605</v>
      </c>
      <c r="IJ58" s="1138">
        <v>3192.0741364598298</v>
      </c>
      <c r="IK58" s="1170">
        <f t="shared" si="17"/>
        <v>4.5634170444608797</v>
      </c>
      <c r="IL58" s="1138">
        <v>282.84213152307598</v>
      </c>
      <c r="IM58" s="1138">
        <v>749.42560691483402</v>
      </c>
      <c r="IN58" s="1171">
        <f t="shared" si="18"/>
        <v>2.6496250854823278</v>
      </c>
      <c r="IP58" s="563" t="s">
        <v>580</v>
      </c>
      <c r="IQ58" s="172">
        <v>39.129773999999998</v>
      </c>
      <c r="IR58" s="704">
        <v>87.228994999999998</v>
      </c>
      <c r="IS58" s="704">
        <v>157.63881000000001</v>
      </c>
      <c r="IT58" s="704">
        <v>264.95313099999998</v>
      </c>
      <c r="IU58" s="704">
        <v>266.76037300000002</v>
      </c>
      <c r="IV58" s="704">
        <v>3181.9242650000001</v>
      </c>
      <c r="IW58" s="703">
        <v>36.128203996118437</v>
      </c>
      <c r="IX58" s="704">
        <v>72.42345095136011</v>
      </c>
      <c r="IY58" s="704">
        <v>167.86109733483153</v>
      </c>
      <c r="IZ58" s="704">
        <v>290.17213429866536</v>
      </c>
      <c r="JA58" s="704">
        <v>337.702843233512</v>
      </c>
      <c r="JB58" s="173">
        <v>3696.1091152744953</v>
      </c>
      <c r="JC58" s="1137">
        <v>28.7637929274178</v>
      </c>
      <c r="JD58" s="1138">
        <v>115.374198422717</v>
      </c>
      <c r="JE58" s="1138">
        <v>177.81676219847</v>
      </c>
      <c r="JF58" s="1138">
        <v>314.86948330010699</v>
      </c>
      <c r="JG58" s="1138">
        <v>345.50998697270001</v>
      </c>
      <c r="JH58" s="1139">
        <v>3941.4997433746598</v>
      </c>
      <c r="JJ58" s="563" t="s">
        <v>580</v>
      </c>
      <c r="JK58" s="172">
        <v>369.06842399999999</v>
      </c>
      <c r="JL58" s="337">
        <v>71.046687999999961</v>
      </c>
      <c r="JM58" s="337">
        <v>365.96383500000002</v>
      </c>
      <c r="JN58" s="173">
        <v>9.6321359999999991</v>
      </c>
      <c r="JO58" s="703">
        <v>517.36884410200548</v>
      </c>
      <c r="JP58" s="704">
        <v>88.316405710081767</v>
      </c>
      <c r="JQ58" s="704">
        <v>286.74361368967794</v>
      </c>
      <c r="JR58" s="173">
        <v>11.85886631272221</v>
      </c>
      <c r="JS58" s="1137">
        <v>554.717269894933</v>
      </c>
      <c r="JT58" s="1138">
        <v>193.322132468051</v>
      </c>
      <c r="JU58" s="1138">
        <v>229.74977754662899</v>
      </c>
      <c r="JV58" s="1139">
        <v>4.5450439117988104</v>
      </c>
      <c r="JX58" s="563" t="s">
        <v>580</v>
      </c>
      <c r="JY58" s="703">
        <v>115.356557792205</v>
      </c>
      <c r="JZ58" s="704">
        <v>216.475368601132</v>
      </c>
      <c r="KA58" s="704">
        <v>139.33323056245499</v>
      </c>
      <c r="KB58" s="173">
        <v>511.16906686561998</v>
      </c>
      <c r="KC58" s="603"/>
      <c r="KD58" s="563" t="s">
        <v>580</v>
      </c>
      <c r="KE58" s="703">
        <v>16.126076729188</v>
      </c>
      <c r="KF58" s="704">
        <v>4.0315191822970098</v>
      </c>
      <c r="KG58" s="704">
        <v>7.3557785048315898</v>
      </c>
      <c r="KH58" s="704">
        <v>66.561889075401197</v>
      </c>
      <c r="KI58" s="704">
        <v>65.135862211729602</v>
      </c>
      <c r="KJ58" s="173">
        <v>117.912658527584</v>
      </c>
      <c r="KK58" s="703">
        <v>19.527451182577899</v>
      </c>
      <c r="KL58" s="704">
        <v>4.0315191822970098</v>
      </c>
      <c r="KM58" s="704">
        <v>7.7519447999179096</v>
      </c>
      <c r="KN58" s="704">
        <v>616.51497983958802</v>
      </c>
      <c r="KO58" s="704">
        <v>43.763695840511602</v>
      </c>
      <c r="KP58" s="173">
        <v>3.8709822711466799</v>
      </c>
      <c r="KQ58" s="703">
        <v>35.653527911765998</v>
      </c>
      <c r="KR58" s="704">
        <v>8.0630383645940196</v>
      </c>
      <c r="KS58" s="704">
        <v>15.1077233047495</v>
      </c>
      <c r="KT58" s="704">
        <v>683.07686891498895</v>
      </c>
      <c r="KU58" s="704">
        <v>108.89955805224101</v>
      </c>
      <c r="KV58" s="173">
        <v>121.78364079873</v>
      </c>
      <c r="KW58" s="429"/>
      <c r="KX58" s="563" t="s">
        <v>580</v>
      </c>
      <c r="KY58" s="172">
        <f t="shared" si="35"/>
        <v>87.220995000000016</v>
      </c>
      <c r="KZ58" s="337">
        <v>443.795433</v>
      </c>
      <c r="LA58" s="173">
        <v>284.69465400000001</v>
      </c>
      <c r="LB58" s="172">
        <f t="shared" si="36"/>
        <v>74.761745850805937</v>
      </c>
      <c r="LC58" s="704">
        <v>534.42743941222591</v>
      </c>
      <c r="LD58" s="173">
        <v>293.098546114481</v>
      </c>
      <c r="LE58" s="172">
        <f t="shared" si="37"/>
        <v>121.28682246104302</v>
      </c>
      <c r="LF58" s="1138">
        <v>504.09681430259099</v>
      </c>
      <c r="LG58" s="1139">
        <v>355.95058604239301</v>
      </c>
      <c r="LH58" s="426"/>
      <c r="LI58" s="563" t="s">
        <v>580</v>
      </c>
      <c r="LJ58" s="172">
        <v>1010.812129</v>
      </c>
      <c r="LK58" s="337">
        <v>898.49976200000003</v>
      </c>
      <c r="LL58" s="337">
        <v>112.312366</v>
      </c>
      <c r="LM58" s="337">
        <v>141.79163299999999</v>
      </c>
      <c r="LN58" s="337">
        <v>145.357564</v>
      </c>
      <c r="LO58" s="173">
        <v>104.634496</v>
      </c>
      <c r="LP58" s="703">
        <v>936.04741586005559</v>
      </c>
      <c r="LQ58" s="704">
        <v>797.89112645338969</v>
      </c>
      <c r="LR58" s="704">
        <v>138.15628940666576</v>
      </c>
      <c r="LS58" s="704">
        <v>120.15411209562264</v>
      </c>
      <c r="LT58" s="704">
        <v>149.48621863559492</v>
      </c>
      <c r="LU58" s="173">
        <v>58.836719960124427</v>
      </c>
      <c r="LV58" s="1137">
        <v>955.93289187437904</v>
      </c>
      <c r="LW58" s="1138">
        <v>816.58091820790105</v>
      </c>
      <c r="LX58" s="1138">
        <v>139.35197366647901</v>
      </c>
      <c r="LY58" s="1138">
        <v>159.93125869996899</v>
      </c>
      <c r="LZ58" s="1138">
        <v>94.283526413133103</v>
      </c>
      <c r="MA58" s="1139">
        <v>63.721156408574402</v>
      </c>
      <c r="MC58" s="563" t="s">
        <v>580</v>
      </c>
      <c r="MD58" s="172">
        <v>0</v>
      </c>
      <c r="ME58" s="337">
        <v>13.595686000000001</v>
      </c>
      <c r="MF58" s="337">
        <v>49.022145999999999</v>
      </c>
      <c r="MG58" s="337">
        <v>246.82843800000001</v>
      </c>
      <c r="MH58" s="337">
        <v>335.213662</v>
      </c>
      <c r="MI58" s="173">
        <v>253.83983000000001</v>
      </c>
      <c r="MJ58" s="703">
        <v>0</v>
      </c>
      <c r="MK58" s="704">
        <v>32.451059883294469</v>
      </c>
      <c r="ML58" s="704">
        <v>65.0594829687127</v>
      </c>
      <c r="MM58" s="704">
        <v>166.73053659756746</v>
      </c>
      <c r="MN58" s="704">
        <v>253.85149681329767</v>
      </c>
      <c r="MO58" s="173">
        <v>277.79855175354282</v>
      </c>
      <c r="MP58" s="1137">
        <v>0</v>
      </c>
      <c r="MQ58" s="1138">
        <v>27.0856608522352</v>
      </c>
      <c r="MR58" s="1138">
        <v>85.518521268670497</v>
      </c>
      <c r="MS58" s="1138">
        <v>220.64991393850801</v>
      </c>
      <c r="MT58" s="1138">
        <v>285.33786572039497</v>
      </c>
      <c r="MU58" s="1139">
        <v>197.988956428092</v>
      </c>
      <c r="MW58" s="563" t="s">
        <v>580</v>
      </c>
      <c r="MX58" s="172">
        <v>901.54043000000001</v>
      </c>
      <c r="MY58" s="337">
        <v>872.92148699999996</v>
      </c>
      <c r="MZ58" s="337">
        <v>28.618943000000002</v>
      </c>
      <c r="NA58" s="703">
        <v>808.65698169390873</v>
      </c>
      <c r="NB58" s="704">
        <v>765.34705471637938</v>
      </c>
      <c r="NC58" s="173">
        <v>43.309926977529408</v>
      </c>
      <c r="ND58" s="1137">
        <v>816.58091820790105</v>
      </c>
      <c r="NE58" s="1138">
        <v>783.95303913099099</v>
      </c>
      <c r="NF58" s="1139">
        <v>32.627879076910197</v>
      </c>
      <c r="NH58" s="563" t="s">
        <v>580</v>
      </c>
      <c r="NI58" s="703">
        <v>616.58246969502284</v>
      </c>
      <c r="NJ58" s="173">
        <v>148.76458502135651</v>
      </c>
      <c r="NK58" s="703">
        <v>32.403953184202507</v>
      </c>
      <c r="NL58" s="704">
        <v>10.905973793326901</v>
      </c>
      <c r="NM58" s="173">
        <v>0</v>
      </c>
      <c r="NN58" s="1137">
        <v>662.79685105950796</v>
      </c>
      <c r="NO58" s="1139">
        <v>121.1561880714828</v>
      </c>
      <c r="NP58" s="1137">
        <v>20.257448842523001</v>
      </c>
      <c r="NQ58" s="1138">
        <v>12.3704302343872</v>
      </c>
      <c r="NR58" s="1139">
        <v>0</v>
      </c>
      <c r="NS58" s="136"/>
      <c r="NT58" s="563" t="s">
        <v>580</v>
      </c>
      <c r="NU58" s="703">
        <v>66.922679956122963</v>
      </c>
      <c r="NV58" s="704">
        <v>7.2413186174347999</v>
      </c>
      <c r="NW58" s="704">
        <v>3.6010620359535102</v>
      </c>
      <c r="NX58" s="173">
        <v>70.999524411845243</v>
      </c>
      <c r="NY58" s="1137">
        <v>48.420552394045203</v>
      </c>
      <c r="NZ58" s="1138">
        <v>24.411199922820099</v>
      </c>
      <c r="OA58" s="1138">
        <v>11.7934442398395</v>
      </c>
      <c r="OB58" s="1139">
        <v>36.530991514778002</v>
      </c>
      <c r="OC58" s="553"/>
      <c r="OD58" s="563" t="s">
        <v>580</v>
      </c>
      <c r="OE58" s="703">
        <v>79.689244262763495</v>
      </c>
      <c r="OF58" s="704">
        <v>102.486628502567</v>
      </c>
      <c r="OG58" s="704">
        <v>83.575552819044702</v>
      </c>
      <c r="OH58" s="704">
        <v>70.025017379657996</v>
      </c>
      <c r="OI58" s="704">
        <v>153.583538768279</v>
      </c>
      <c r="OJ58" s="704">
        <v>16.975365768424101</v>
      </c>
      <c r="OK58" s="173">
        <v>17.951765427803998</v>
      </c>
      <c r="OL58" s="703">
        <v>120.423340181003</v>
      </c>
      <c r="OM58" s="704">
        <v>110.265266705613</v>
      </c>
      <c r="ON58" s="704">
        <v>91.337477876587201</v>
      </c>
      <c r="OO58" s="704">
        <v>78.088055744252003</v>
      </c>
      <c r="OP58" s="704">
        <v>238.47353576333501</v>
      </c>
      <c r="OQ58" s="704">
        <v>110.112278568308</v>
      </c>
      <c r="OR58" s="173">
        <v>1400.6799451562399</v>
      </c>
      <c r="OT58" s="563" t="s">
        <v>580</v>
      </c>
      <c r="OU58" s="172">
        <v>522.854783</v>
      </c>
      <c r="OV58" s="337">
        <v>375.42293100000001</v>
      </c>
      <c r="OW58" s="337">
        <v>261.91149300000001</v>
      </c>
      <c r="OX58" s="173">
        <v>193.634837</v>
      </c>
      <c r="OY58" s="703">
        <v>504.04413534671409</v>
      </c>
      <c r="OZ58" s="704">
        <v>457.16658381834168</v>
      </c>
      <c r="PA58" s="704">
        <v>249.39532668318327</v>
      </c>
      <c r="PB58" s="173">
        <v>283.80023818974979</v>
      </c>
      <c r="PC58" s="1137">
        <v>451.81944553780625</v>
      </c>
      <c r="PD58" s="1138">
        <v>445.569060997718</v>
      </c>
      <c r="PE58" s="1138">
        <v>270.04909918816702</v>
      </c>
      <c r="PF58" s="1139">
        <v>401.3805221642765</v>
      </c>
      <c r="PH58" s="563" t="s">
        <v>580</v>
      </c>
      <c r="PI58" s="703">
        <v>177.03923689967382</v>
      </c>
      <c r="PJ58" s="704">
        <v>261.94134410305003</v>
      </c>
      <c r="PK58" s="704">
        <v>118.443909380972</v>
      </c>
      <c r="PL58" s="173">
        <v>178.16307347179091</v>
      </c>
      <c r="PM58" s="703">
        <v>274.78020863813248</v>
      </c>
      <c r="PN58" s="704">
        <v>183.627716894668</v>
      </c>
      <c r="PO58" s="704">
        <v>151.60518980719499</v>
      </c>
      <c r="PP58" s="173">
        <v>223.21744869248471</v>
      </c>
      <c r="PQ58" s="65"/>
      <c r="PR58" s="563" t="s">
        <v>580</v>
      </c>
      <c r="PS58" s="1038">
        <v>23.994587605647101</v>
      </c>
      <c r="PT58" s="1039">
        <v>56.809325729545499</v>
      </c>
      <c r="PU58" s="1039">
        <v>28.0692906102135</v>
      </c>
      <c r="PV58" s="1039">
        <v>18.646601721952401</v>
      </c>
      <c r="PW58" s="1039">
        <v>588.12262731059695</v>
      </c>
      <c r="PX58" s="1040">
        <v>100.938485229945</v>
      </c>
      <c r="PZ58" s="563" t="s">
        <v>580</v>
      </c>
      <c r="QA58" s="1038">
        <v>509.29458794069598</v>
      </c>
      <c r="QB58" s="1039">
        <v>307.28633026720399</v>
      </c>
      <c r="QC58" s="1039">
        <v>256.77080863925897</v>
      </c>
      <c r="QD58" s="1039">
        <v>24.5285117850825</v>
      </c>
      <c r="QE58" s="1039">
        <v>25.987009842862498</v>
      </c>
      <c r="QF58" s="1040">
        <v>0</v>
      </c>
    </row>
    <row r="59" spans="1:448" ht="13.5" customHeight="1">
      <c r="A59" s="593" t="s">
        <v>524</v>
      </c>
      <c r="B59" s="559" t="s">
        <v>581</v>
      </c>
      <c r="C59" s="1104">
        <v>56.423853000000001</v>
      </c>
      <c r="D59" s="692">
        <v>30.732853769282858</v>
      </c>
      <c r="E59" s="693">
        <v>48.220550825483897</v>
      </c>
      <c r="F59" s="428"/>
      <c r="G59" s="563" t="s">
        <v>581</v>
      </c>
      <c r="H59" s="613">
        <f t="shared" si="5"/>
        <v>-0.11441953062163468</v>
      </c>
      <c r="I59" s="671">
        <f t="shared" si="6"/>
        <v>9.4273433107314508E-2</v>
      </c>
      <c r="J59" s="685"/>
      <c r="K59" s="63"/>
      <c r="L59" s="559" t="s">
        <v>581</v>
      </c>
      <c r="M59" s="638">
        <v>1</v>
      </c>
      <c r="N59" s="639">
        <v>0</v>
      </c>
      <c r="O59" s="639">
        <v>0</v>
      </c>
      <c r="P59" s="639">
        <v>0</v>
      </c>
      <c r="Q59" s="639">
        <v>0</v>
      </c>
      <c r="R59" s="639">
        <v>0</v>
      </c>
      <c r="S59" s="639">
        <v>2</v>
      </c>
      <c r="T59" s="639">
        <v>1</v>
      </c>
      <c r="U59" s="1141">
        <v>0</v>
      </c>
      <c r="V59" s="1141">
        <v>0</v>
      </c>
      <c r="W59" s="1142">
        <v>2</v>
      </c>
      <c r="X59" s="563" t="s">
        <v>581</v>
      </c>
      <c r="Y59" s="669">
        <v>0.5</v>
      </c>
      <c r="Z59" s="670">
        <v>0</v>
      </c>
      <c r="AA59" s="670">
        <v>0</v>
      </c>
      <c r="AB59" s="670">
        <v>1.5</v>
      </c>
      <c r="AC59" s="667">
        <v>1.5</v>
      </c>
      <c r="AD59" s="671">
        <v>-1</v>
      </c>
      <c r="AE59" s="671">
        <v>0</v>
      </c>
      <c r="AF59" s="671">
        <v>0</v>
      </c>
      <c r="AG59" s="1214">
        <v>0</v>
      </c>
      <c r="AN59" s="563" t="s">
        <v>581</v>
      </c>
      <c r="AO59" s="638">
        <v>0</v>
      </c>
      <c r="AP59" s="639">
        <v>0</v>
      </c>
      <c r="AQ59" s="639">
        <v>0</v>
      </c>
      <c r="AR59" s="639">
        <v>5.18567</v>
      </c>
      <c r="AS59" s="639">
        <v>17.073734999999999</v>
      </c>
      <c r="AT59" s="639">
        <v>5.8095540000000003</v>
      </c>
      <c r="AU59" s="639">
        <v>22.545338999999998</v>
      </c>
      <c r="AV59" s="618">
        <v>0</v>
      </c>
      <c r="AW59" s="638">
        <v>0</v>
      </c>
      <c r="AX59" s="639">
        <v>0</v>
      </c>
      <c r="AY59" s="639">
        <v>0</v>
      </c>
      <c r="AZ59" s="639">
        <v>7.7328717440756902</v>
      </c>
      <c r="BA59" s="639">
        <v>0</v>
      </c>
      <c r="BB59" s="639">
        <v>0</v>
      </c>
      <c r="BC59" s="639">
        <v>15.366426884641429</v>
      </c>
      <c r="BD59" s="618">
        <v>7.6335551405657398</v>
      </c>
      <c r="BE59" s="1140">
        <v>0</v>
      </c>
      <c r="BF59" s="1141">
        <v>0</v>
      </c>
      <c r="BG59" s="1141">
        <v>0</v>
      </c>
      <c r="BH59" s="1141">
        <v>0</v>
      </c>
      <c r="BI59" s="1141">
        <v>9.5386821265917501</v>
      </c>
      <c r="BJ59" s="1141">
        <v>0</v>
      </c>
      <c r="BK59" s="1141">
        <v>38.681868698892202</v>
      </c>
      <c r="BL59" s="1142">
        <v>0</v>
      </c>
      <c r="BN59" s="563" t="s">
        <v>581</v>
      </c>
      <c r="BO59" s="649">
        <v>5.8095540000000003</v>
      </c>
      <c r="BP59" s="650">
        <v>5.8095540000000003</v>
      </c>
      <c r="BQ59" s="650">
        <v>5.8095540000000003</v>
      </c>
      <c r="BR59" s="650">
        <v>21.635521000000001</v>
      </c>
      <c r="BS59" s="650">
        <v>5.8095540000000003</v>
      </c>
      <c r="BT59" s="618">
        <v>11.550115</v>
      </c>
      <c r="BU59" s="649">
        <v>0</v>
      </c>
      <c r="BV59" s="650">
        <v>0</v>
      </c>
      <c r="BW59" s="650">
        <v>7.7328717440756902</v>
      </c>
      <c r="BX59" s="650">
        <v>0</v>
      </c>
      <c r="BY59" s="650">
        <v>7.7328717440756902</v>
      </c>
      <c r="BZ59" s="618">
        <v>15.26711028113148</v>
      </c>
      <c r="CA59" s="1140">
        <v>0</v>
      </c>
      <c r="CB59" s="1141">
        <v>0</v>
      </c>
      <c r="CC59" s="1141">
        <v>9.5386821265917501</v>
      </c>
      <c r="CD59" s="1141">
        <v>0</v>
      </c>
      <c r="CE59" s="1141">
        <v>19.472951331032402</v>
      </c>
      <c r="CF59" s="1142">
        <v>19.208917367859701</v>
      </c>
      <c r="CG59" s="429"/>
      <c r="CH59" s="563" t="s">
        <v>581</v>
      </c>
      <c r="CI59" s="172">
        <v>11.619109</v>
      </c>
      <c r="CJ59" s="337">
        <v>27.445074999999999</v>
      </c>
      <c r="CK59" s="337">
        <v>17.359669</v>
      </c>
      <c r="CL59" s="647">
        <v>0</v>
      </c>
      <c r="CM59" s="648">
        <v>7.7328717440756902</v>
      </c>
      <c r="CN59" s="648">
        <v>22.999982025207171</v>
      </c>
      <c r="CO59" s="1137">
        <v>0</v>
      </c>
      <c r="CP59" s="1138">
        <v>9.5386821265917501</v>
      </c>
      <c r="CQ59" s="1139">
        <v>38.681868698892202</v>
      </c>
      <c r="CR59" s="429"/>
      <c r="DB59" s="426"/>
      <c r="DC59" s="426"/>
      <c r="DD59" s="426"/>
      <c r="DE59" s="426"/>
      <c r="DG59" s="563" t="s">
        <v>581</v>
      </c>
      <c r="DH59" s="1149" t="s">
        <v>770</v>
      </c>
      <c r="DI59" s="1152" t="s">
        <v>770</v>
      </c>
      <c r="DJ59" s="835" t="s">
        <v>770</v>
      </c>
      <c r="DK59" s="835" t="s">
        <v>770</v>
      </c>
      <c r="DL59" s="835" t="s">
        <v>770</v>
      </c>
      <c r="DM59" s="1075" t="s">
        <v>770</v>
      </c>
      <c r="DO59" s="559" t="s">
        <v>581</v>
      </c>
      <c r="DP59" s="706">
        <v>27.999966000000001</v>
      </c>
      <c r="DQ59" s="617">
        <v>15.366426884641429</v>
      </c>
      <c r="DR59" s="1142">
        <v>29.0774100149623</v>
      </c>
      <c r="DS59" s="63"/>
      <c r="DT59" s="563" t="s">
        <v>581</v>
      </c>
      <c r="DU59" s="172">
        <v>56.423853000000001</v>
      </c>
      <c r="DV59" s="337">
        <v>30.732853769282858</v>
      </c>
      <c r="DW59" s="1139">
        <v>48.220550825483897</v>
      </c>
      <c r="DX59" s="63"/>
      <c r="DY59" s="563" t="s">
        <v>581</v>
      </c>
      <c r="DZ59" s="1089">
        <f t="shared" si="32"/>
        <v>2.0151400540986373</v>
      </c>
      <c r="EA59" s="787">
        <f t="shared" si="33"/>
        <v>2</v>
      </c>
      <c r="EB59" s="794">
        <f t="shared" si="34"/>
        <v>1.6583509604421836</v>
      </c>
      <c r="ED59" s="541"/>
      <c r="EE59" s="563" t="s">
        <v>581</v>
      </c>
      <c r="EF59" s="737">
        <v>11.195187000000001</v>
      </c>
      <c r="EG59" s="738">
        <v>0</v>
      </c>
      <c r="EH59" s="738">
        <v>10.995224</v>
      </c>
      <c r="EI59" s="738">
        <v>5.8095540000000003</v>
      </c>
      <c r="EJ59" s="738">
        <v>0</v>
      </c>
      <c r="EK59" s="705">
        <v>0</v>
      </c>
      <c r="EL59" s="706">
        <v>0</v>
      </c>
      <c r="EM59" s="706">
        <v>7.6335551405657398</v>
      </c>
      <c r="EN59" s="706">
        <v>0</v>
      </c>
      <c r="EO59" s="706">
        <v>7.7328717440756902</v>
      </c>
      <c r="EP59" s="1140">
        <v>9.9342692044406906</v>
      </c>
      <c r="EQ59" s="1141">
        <v>0</v>
      </c>
      <c r="ER59" s="1141">
        <v>9.6044586839298702</v>
      </c>
      <c r="ES59" s="1141">
        <v>0</v>
      </c>
      <c r="ET59" s="1142">
        <v>9.5386821265917501</v>
      </c>
      <c r="EV59" s="563" t="s">
        <v>581</v>
      </c>
      <c r="EW59" s="705">
        <v>0</v>
      </c>
      <c r="EX59" s="706">
        <v>0</v>
      </c>
      <c r="EY59" s="706">
        <v>5.4546270000000003</v>
      </c>
      <c r="EZ59" s="706">
        <v>5.7405609999999996</v>
      </c>
      <c r="FA59" s="705">
        <v>5.8095540000000003</v>
      </c>
      <c r="FB59" s="706">
        <v>16.804777999999999</v>
      </c>
      <c r="FC59" s="706">
        <v>22.259405000000001</v>
      </c>
      <c r="FD59" s="706">
        <v>5.7405609999999996</v>
      </c>
      <c r="FE59" s="705">
        <v>0</v>
      </c>
      <c r="FF59" s="706">
        <v>0</v>
      </c>
      <c r="FG59" s="706">
        <v>0</v>
      </c>
      <c r="FH59" s="618">
        <v>0</v>
      </c>
      <c r="FI59" s="705">
        <v>0</v>
      </c>
      <c r="FJ59" s="706">
        <v>7.7328717440756902</v>
      </c>
      <c r="FK59" s="748">
        <v>7.7328717440756902</v>
      </c>
      <c r="FL59" s="749">
        <v>15.26711028113148</v>
      </c>
      <c r="FM59" s="1140">
        <v>0</v>
      </c>
      <c r="FN59" s="1141">
        <v>0</v>
      </c>
      <c r="FO59" s="1141">
        <v>9.9342692044406906</v>
      </c>
      <c r="FP59" s="1142">
        <v>0</v>
      </c>
      <c r="FQ59" s="1140">
        <v>0</v>
      </c>
      <c r="FR59" s="1141">
        <v>9.5386821265917501</v>
      </c>
      <c r="FS59" s="1141">
        <v>19.472951331032402</v>
      </c>
      <c r="FT59" s="1142">
        <v>19.208917367859701</v>
      </c>
      <c r="FV59" s="559" t="s">
        <v>581</v>
      </c>
      <c r="FW59" s="704">
        <v>10.995224</v>
      </c>
      <c r="FX59" s="337">
        <v>0</v>
      </c>
      <c r="FY59" s="337">
        <v>5.8095540000000003</v>
      </c>
      <c r="FZ59" s="173">
        <v>0</v>
      </c>
      <c r="GA59" s="703">
        <v>15.366426884641429</v>
      </c>
      <c r="GB59" s="704">
        <v>0</v>
      </c>
      <c r="GC59" s="704">
        <v>0</v>
      </c>
      <c r="GD59" s="173">
        <v>0</v>
      </c>
      <c r="GE59" s="1137">
        <v>19.143140810521601</v>
      </c>
      <c r="GF59" s="1138">
        <v>0</v>
      </c>
      <c r="GG59" s="1138">
        <v>0</v>
      </c>
      <c r="GH59" s="1139">
        <v>0</v>
      </c>
      <c r="GJ59" s="563" t="s">
        <v>581</v>
      </c>
      <c r="GK59" s="705">
        <v>27.999966000000001</v>
      </c>
      <c r="GL59" s="706">
        <v>22.999987990932361</v>
      </c>
      <c r="GM59" s="1142">
        <v>41.500029524736497</v>
      </c>
      <c r="GO59" s="563" t="s">
        <v>581</v>
      </c>
      <c r="GP59" s="705">
        <v>27.999966000000001</v>
      </c>
      <c r="GQ59" s="706">
        <v>0</v>
      </c>
      <c r="GR59" s="618">
        <v>0</v>
      </c>
      <c r="GS59" s="705">
        <v>15.366426884641429</v>
      </c>
      <c r="GT59" s="706">
        <v>0</v>
      </c>
      <c r="GU59" s="618">
        <v>7.6335611062909301</v>
      </c>
      <c r="GV59" s="1140">
        <v>29.0774100149623</v>
      </c>
      <c r="GW59" s="1141">
        <v>0</v>
      </c>
      <c r="GX59" s="1142">
        <v>12.422619509774201</v>
      </c>
      <c r="GZ59" s="563" t="s">
        <v>581</v>
      </c>
      <c r="HA59" s="705">
        <v>27.999966000000001</v>
      </c>
      <c r="HB59" s="706">
        <v>0</v>
      </c>
      <c r="HC59" s="618">
        <f t="shared" si="7"/>
        <v>0</v>
      </c>
      <c r="HD59" s="705">
        <v>22.999987990932361</v>
      </c>
      <c r="HE59" s="706">
        <v>0</v>
      </c>
      <c r="HF59" s="618">
        <f t="shared" si="8"/>
        <v>0</v>
      </c>
      <c r="HG59" s="624">
        <v>41.500029524736497</v>
      </c>
      <c r="HH59" s="1141">
        <v>0</v>
      </c>
      <c r="HI59" s="618">
        <f t="shared" si="9"/>
        <v>0</v>
      </c>
      <c r="HK59" s="563" t="s">
        <v>581</v>
      </c>
      <c r="HL59" s="704">
        <v>27.999966000000001</v>
      </c>
      <c r="HM59" s="704">
        <v>106.61423000000001</v>
      </c>
      <c r="HN59" s="776">
        <f t="shared" si="10"/>
        <v>3.807655695010487</v>
      </c>
      <c r="HO59" s="703">
        <v>15.366426884641429</v>
      </c>
      <c r="HP59" s="704">
        <v>76.931451026717099</v>
      </c>
      <c r="HQ59" s="776">
        <f t="shared" si="11"/>
        <v>5.0064632203865962</v>
      </c>
      <c r="HR59" s="1138">
        <v>29.0774100149623</v>
      </c>
      <c r="HS59" s="1138">
        <v>135.45278087037099</v>
      </c>
      <c r="HT59" s="784">
        <f t="shared" si="12"/>
        <v>4.6583509604421902</v>
      </c>
      <c r="HV59" s="563" t="s">
        <v>581</v>
      </c>
      <c r="HW59" s="172">
        <v>27.999966000000001</v>
      </c>
      <c r="HX59" s="337">
        <v>106.61423000000001</v>
      </c>
      <c r="HY59" s="787">
        <f t="shared" si="13"/>
        <v>3.807655695010487</v>
      </c>
      <c r="HZ59" s="704">
        <v>0</v>
      </c>
      <c r="IA59" s="704">
        <v>0</v>
      </c>
      <c r="IB59" s="787">
        <v>0</v>
      </c>
      <c r="IC59" s="705">
        <v>15.366426884641429</v>
      </c>
      <c r="ID59" s="706">
        <v>76.931451026717099</v>
      </c>
      <c r="IE59" s="793">
        <f t="shared" si="15"/>
        <v>5.0064632203865962</v>
      </c>
      <c r="IF59" s="706">
        <v>0</v>
      </c>
      <c r="IG59" s="706">
        <v>0</v>
      </c>
      <c r="IH59" s="794">
        <v>0</v>
      </c>
      <c r="II59" s="1140">
        <v>29.0774100149623</v>
      </c>
      <c r="IJ59" s="1141">
        <v>135.45278087037099</v>
      </c>
      <c r="IK59" s="1172">
        <f t="shared" si="17"/>
        <v>4.6583509604421902</v>
      </c>
      <c r="IL59" s="1141">
        <v>0</v>
      </c>
      <c r="IM59" s="1141">
        <v>0</v>
      </c>
      <c r="IN59" s="1173">
        <v>0</v>
      </c>
      <c r="IP59" s="563" t="s">
        <v>581</v>
      </c>
      <c r="IQ59" s="172">
        <v>0</v>
      </c>
      <c r="IR59" s="706">
        <v>0</v>
      </c>
      <c r="IS59" s="706">
        <v>17.004742</v>
      </c>
      <c r="IT59" s="706">
        <v>5.18567</v>
      </c>
      <c r="IU59" s="706">
        <v>5.8095540000000003</v>
      </c>
      <c r="IV59" s="706">
        <v>106.61423000000001</v>
      </c>
      <c r="IW59" s="705">
        <v>0</v>
      </c>
      <c r="IX59" s="706">
        <v>0</v>
      </c>
      <c r="IY59" s="706">
        <v>0</v>
      </c>
      <c r="IZ59" s="706">
        <v>7.6335551405657398</v>
      </c>
      <c r="JA59" s="706">
        <v>7.7328717440756902</v>
      </c>
      <c r="JB59" s="618">
        <v>76.931451026717099</v>
      </c>
      <c r="JC59" s="1140">
        <v>0</v>
      </c>
      <c r="JD59" s="1141">
        <v>0</v>
      </c>
      <c r="JE59" s="1141">
        <v>0</v>
      </c>
      <c r="JF59" s="1141">
        <v>9.9342692044406906</v>
      </c>
      <c r="JG59" s="1141">
        <v>19.143140810521601</v>
      </c>
      <c r="JH59" s="1142">
        <v>135.45278087037099</v>
      </c>
      <c r="JJ59" s="563" t="s">
        <v>581</v>
      </c>
      <c r="JK59" s="172">
        <v>11.550115</v>
      </c>
      <c r="JL59" s="337">
        <v>16.449850999999999</v>
      </c>
      <c r="JM59" s="337">
        <v>0</v>
      </c>
      <c r="JN59" s="173">
        <v>0</v>
      </c>
      <c r="JO59" s="705">
        <v>15.366426884641429</v>
      </c>
      <c r="JP59" s="706">
        <v>0</v>
      </c>
      <c r="JQ59" s="706">
        <v>0</v>
      </c>
      <c r="JR59" s="618">
        <v>0</v>
      </c>
      <c r="JS59" s="1140">
        <v>29.0774100149623</v>
      </c>
      <c r="JT59" s="1141">
        <v>0</v>
      </c>
      <c r="JU59" s="1141">
        <v>0</v>
      </c>
      <c r="JV59" s="1142">
        <v>0</v>
      </c>
      <c r="JX59" s="563" t="s">
        <v>581</v>
      </c>
      <c r="JY59" s="705">
        <v>0</v>
      </c>
      <c r="JZ59" s="706">
        <v>0</v>
      </c>
      <c r="KA59" s="706">
        <v>0</v>
      </c>
      <c r="KB59" s="618">
        <v>29.0774100149623</v>
      </c>
      <c r="KC59" s="603"/>
      <c r="KD59" s="563" t="s">
        <v>581</v>
      </c>
      <c r="KE59" s="705">
        <v>0</v>
      </c>
      <c r="KF59" s="706">
        <v>0</v>
      </c>
      <c r="KG59" s="706">
        <v>0</v>
      </c>
      <c r="KH59" s="706">
        <v>0</v>
      </c>
      <c r="KI59" s="706">
        <v>0</v>
      </c>
      <c r="KJ59" s="618">
        <v>0</v>
      </c>
      <c r="KK59" s="705">
        <v>0</v>
      </c>
      <c r="KL59" s="706">
        <v>0</v>
      </c>
      <c r="KM59" s="706">
        <v>19.143140810521601</v>
      </c>
      <c r="KN59" s="706">
        <v>9.9342692044406906</v>
      </c>
      <c r="KO59" s="706">
        <v>0</v>
      </c>
      <c r="KP59" s="618">
        <v>0</v>
      </c>
      <c r="KQ59" s="705">
        <v>0</v>
      </c>
      <c r="KR59" s="706">
        <v>0</v>
      </c>
      <c r="KS59" s="706">
        <v>19.143140810521601</v>
      </c>
      <c r="KT59" s="706">
        <v>9.9342692044406906</v>
      </c>
      <c r="KU59" s="706">
        <v>0</v>
      </c>
      <c r="KV59" s="618">
        <v>0</v>
      </c>
      <c r="KW59" s="429"/>
      <c r="KX59" s="563" t="s">
        <v>581</v>
      </c>
      <c r="KY59" s="172">
        <f t="shared" si="35"/>
        <v>0</v>
      </c>
      <c r="KZ59" s="337">
        <v>22.190411999999998</v>
      </c>
      <c r="LA59" s="173">
        <v>5.8095540000000003</v>
      </c>
      <c r="LB59" s="172">
        <f t="shared" si="36"/>
        <v>0</v>
      </c>
      <c r="LC59" s="706">
        <v>15.366426884641429</v>
      </c>
      <c r="LD59" s="618">
        <v>0</v>
      </c>
      <c r="LE59" s="172">
        <f t="shared" si="37"/>
        <v>0</v>
      </c>
      <c r="LF59" s="1138">
        <v>29.0774100149623</v>
      </c>
      <c r="LG59" s="1139">
        <v>0</v>
      </c>
      <c r="LH59" s="426"/>
      <c r="LI59" s="563" t="s">
        <v>581</v>
      </c>
      <c r="LJ59" s="172">
        <v>28.068959</v>
      </c>
      <c r="LK59" s="337">
        <v>28.068959</v>
      </c>
      <c r="LL59" s="337">
        <v>0</v>
      </c>
      <c r="LM59" s="337">
        <v>0</v>
      </c>
      <c r="LN59" s="337">
        <v>5.18567</v>
      </c>
      <c r="LO59" s="173">
        <v>0</v>
      </c>
      <c r="LP59" s="705">
        <v>7.7328717440756902</v>
      </c>
      <c r="LQ59" s="706">
        <v>0</v>
      </c>
      <c r="LR59" s="706">
        <v>7.7328717440756902</v>
      </c>
      <c r="LS59" s="706">
        <v>0</v>
      </c>
      <c r="LT59" s="706">
        <v>0</v>
      </c>
      <c r="LU59" s="618">
        <v>0</v>
      </c>
      <c r="LV59" s="1140">
        <v>9.5386821265917501</v>
      </c>
      <c r="LW59" s="1141">
        <v>0</v>
      </c>
      <c r="LX59" s="1141">
        <v>9.5386821265917501</v>
      </c>
      <c r="LY59" s="1141">
        <v>0</v>
      </c>
      <c r="LZ59" s="1141">
        <v>0</v>
      </c>
      <c r="MA59" s="1142">
        <v>0</v>
      </c>
      <c r="MC59" s="563" t="s">
        <v>581</v>
      </c>
      <c r="MD59" s="705">
        <v>0</v>
      </c>
      <c r="ME59" s="706">
        <v>0</v>
      </c>
      <c r="MF59" s="706">
        <v>0</v>
      </c>
      <c r="MG59" s="706">
        <v>5.18567</v>
      </c>
      <c r="MH59" s="706">
        <v>17.073734999999999</v>
      </c>
      <c r="MI59" s="618">
        <v>5.8095540000000003</v>
      </c>
      <c r="MJ59" s="705">
        <v>0</v>
      </c>
      <c r="MK59" s="706">
        <v>0</v>
      </c>
      <c r="ML59" s="706">
        <v>0</v>
      </c>
      <c r="MM59" s="706">
        <v>0</v>
      </c>
      <c r="MN59" s="706">
        <v>0</v>
      </c>
      <c r="MO59" s="618">
        <v>0</v>
      </c>
      <c r="MP59" s="1140">
        <v>0</v>
      </c>
      <c r="MQ59" s="1141">
        <v>0</v>
      </c>
      <c r="MR59" s="1141">
        <v>0</v>
      </c>
      <c r="MS59" s="1141">
        <v>0</v>
      </c>
      <c r="MT59" s="1141">
        <v>0</v>
      </c>
      <c r="MU59" s="1142">
        <v>0</v>
      </c>
      <c r="MW59" s="563" t="s">
        <v>581</v>
      </c>
      <c r="MX59" s="172">
        <v>28.068959</v>
      </c>
      <c r="MY59" s="337">
        <v>28.068959</v>
      </c>
      <c r="MZ59" s="337">
        <v>0</v>
      </c>
      <c r="NA59" s="703">
        <v>0</v>
      </c>
      <c r="NB59" s="704">
        <v>0</v>
      </c>
      <c r="NC59" s="173">
        <v>0</v>
      </c>
      <c r="ND59" s="1137">
        <v>0</v>
      </c>
      <c r="NE59" s="1138">
        <v>0</v>
      </c>
      <c r="NF59" s="1139">
        <v>0</v>
      </c>
      <c r="NH59" s="563" t="s">
        <v>581</v>
      </c>
      <c r="NI59" s="703">
        <v>0</v>
      </c>
      <c r="NJ59" s="173">
        <v>0</v>
      </c>
      <c r="NK59" s="703">
        <v>0</v>
      </c>
      <c r="NL59" s="704">
        <v>0</v>
      </c>
      <c r="NM59" s="173">
        <v>0</v>
      </c>
      <c r="NN59" s="1137">
        <v>0</v>
      </c>
      <c r="NO59" s="1139">
        <v>0</v>
      </c>
      <c r="NP59" s="1137">
        <v>0</v>
      </c>
      <c r="NQ59" s="1138">
        <v>0</v>
      </c>
      <c r="NR59" s="1139">
        <v>0</v>
      </c>
      <c r="NS59" s="136"/>
      <c r="NT59" s="563" t="s">
        <v>581</v>
      </c>
      <c r="NU59" s="705">
        <v>0</v>
      </c>
      <c r="NV59" s="706">
        <v>0</v>
      </c>
      <c r="NW59" s="706">
        <v>0</v>
      </c>
      <c r="NX59" s="618">
        <v>0</v>
      </c>
      <c r="NY59" s="1140">
        <v>0</v>
      </c>
      <c r="NZ59" s="1141">
        <v>0</v>
      </c>
      <c r="OA59" s="1141">
        <v>0</v>
      </c>
      <c r="OB59" s="1142">
        <v>0</v>
      </c>
      <c r="OC59" s="553"/>
      <c r="OD59" s="563" t="s">
        <v>581</v>
      </c>
      <c r="OE59" s="703">
        <v>0</v>
      </c>
      <c r="OF59" s="704">
        <v>0</v>
      </c>
      <c r="OG59" s="704">
        <v>0</v>
      </c>
      <c r="OH59" s="704">
        <v>0</v>
      </c>
      <c r="OI59" s="704">
        <v>0</v>
      </c>
      <c r="OJ59" s="704">
        <v>0</v>
      </c>
      <c r="OK59" s="173">
        <v>0</v>
      </c>
      <c r="OL59" s="703">
        <v>0</v>
      </c>
      <c r="OM59" s="704">
        <v>0</v>
      </c>
      <c r="ON59" s="704">
        <v>0</v>
      </c>
      <c r="OO59" s="704">
        <v>0</v>
      </c>
      <c r="OP59" s="704">
        <v>0</v>
      </c>
      <c r="OQ59" s="704">
        <v>0</v>
      </c>
      <c r="OR59" s="173">
        <v>48.220550825483897</v>
      </c>
      <c r="OT59" s="563" t="s">
        <v>581</v>
      </c>
      <c r="OU59" s="172">
        <v>33.809519999999999</v>
      </c>
      <c r="OV59" s="337">
        <v>5.18567</v>
      </c>
      <c r="OW59" s="337">
        <v>0</v>
      </c>
      <c r="OX59" s="173">
        <v>5.8095540000000003</v>
      </c>
      <c r="OY59" s="705">
        <v>15.26711028113148</v>
      </c>
      <c r="OZ59" s="706">
        <v>7.7328717440756902</v>
      </c>
      <c r="PA59" s="706">
        <v>0</v>
      </c>
      <c r="PB59" s="618">
        <v>7.7328717440756902</v>
      </c>
      <c r="PC59" s="1140">
        <v>19.208917367859701</v>
      </c>
      <c r="PD59" s="1141">
        <v>19.472951331032402</v>
      </c>
      <c r="PE59" s="1141">
        <v>0</v>
      </c>
      <c r="PF59" s="1142">
        <v>9.5386821265917501</v>
      </c>
      <c r="PH59" s="563" t="s">
        <v>581</v>
      </c>
      <c r="PI59" s="703">
        <v>9.6044586839298702</v>
      </c>
      <c r="PJ59" s="704">
        <v>0</v>
      </c>
      <c r="PK59" s="704">
        <v>0</v>
      </c>
      <c r="PL59" s="173">
        <v>0</v>
      </c>
      <c r="PM59" s="703">
        <v>9.6044586839298702</v>
      </c>
      <c r="PN59" s="704">
        <v>19.472951331032402</v>
      </c>
      <c r="PO59" s="704">
        <v>0</v>
      </c>
      <c r="PP59" s="173">
        <v>9.5386821265917501</v>
      </c>
      <c r="PQ59" s="65"/>
      <c r="PR59" s="563" t="s">
        <v>581</v>
      </c>
      <c r="PS59" s="1047">
        <v>0</v>
      </c>
      <c r="PT59" s="1048">
        <v>0</v>
      </c>
      <c r="PU59" s="1048">
        <v>0</v>
      </c>
      <c r="PV59" s="1048">
        <v>0</v>
      </c>
      <c r="PW59" s="1039">
        <v>0</v>
      </c>
      <c r="PX59" s="1040">
        <v>0</v>
      </c>
      <c r="PZ59" s="563" t="s">
        <v>581</v>
      </c>
      <c r="QA59" s="1047">
        <v>0</v>
      </c>
      <c r="QB59" s="1048">
        <v>0</v>
      </c>
      <c r="QC59" s="1048">
        <v>0</v>
      </c>
      <c r="QD59" s="1048">
        <v>0</v>
      </c>
      <c r="QE59" s="1048">
        <v>0</v>
      </c>
      <c r="QF59" s="1049">
        <v>0</v>
      </c>
    </row>
    <row r="60" spans="1:448" ht="13.5" customHeight="1">
      <c r="A60" s="594" t="s">
        <v>525</v>
      </c>
      <c r="B60" s="566" t="s">
        <v>582</v>
      </c>
      <c r="C60" s="1103">
        <v>4016.8700829999998</v>
      </c>
      <c r="D60" s="694">
        <v>3773.5322672344314</v>
      </c>
      <c r="E60" s="695">
        <v>3736.5523623722102</v>
      </c>
      <c r="F60" s="428"/>
      <c r="G60" s="567" t="s">
        <v>582</v>
      </c>
      <c r="H60" s="687">
        <f t="shared" si="5"/>
        <v>-1.2420522467432304E-2</v>
      </c>
      <c r="I60" s="674">
        <f t="shared" si="6"/>
        <v>-1.9676906888131951E-3</v>
      </c>
      <c r="J60" s="683"/>
      <c r="K60" s="63"/>
      <c r="L60" s="566" t="s">
        <v>582</v>
      </c>
      <c r="M60" s="640">
        <v>19</v>
      </c>
      <c r="N60" s="641">
        <v>23</v>
      </c>
      <c r="O60" s="641">
        <v>20</v>
      </c>
      <c r="P60" s="641">
        <v>15</v>
      </c>
      <c r="Q60" s="641">
        <v>21</v>
      </c>
      <c r="R60" s="641">
        <v>18</v>
      </c>
      <c r="S60" s="641">
        <v>34</v>
      </c>
      <c r="T60" s="641">
        <v>21</v>
      </c>
      <c r="U60" s="1144">
        <v>18</v>
      </c>
      <c r="V60" s="1144">
        <v>15</v>
      </c>
      <c r="W60" s="1145">
        <v>22</v>
      </c>
      <c r="X60" s="567" t="s">
        <v>582</v>
      </c>
      <c r="Y60" s="672">
        <v>21</v>
      </c>
      <c r="Z60" s="673">
        <v>17.5</v>
      </c>
      <c r="AA60" s="673">
        <v>19.5</v>
      </c>
      <c r="AB60" s="673">
        <v>27.5</v>
      </c>
      <c r="AC60" s="1204">
        <v>27.5</v>
      </c>
      <c r="AD60" s="674">
        <v>-0.16666666666666666</v>
      </c>
      <c r="AE60" s="674">
        <v>0.11428571428571428</v>
      </c>
      <c r="AF60" s="674">
        <v>0.41025641025641024</v>
      </c>
      <c r="AG60" s="1215">
        <v>0.11428571428571428</v>
      </c>
      <c r="AN60" s="567" t="s">
        <v>582</v>
      </c>
      <c r="AO60" s="640">
        <v>0</v>
      </c>
      <c r="AP60" s="641">
        <v>26.459962000000001</v>
      </c>
      <c r="AQ60" s="641">
        <v>176.78026800000001</v>
      </c>
      <c r="AR60" s="641">
        <v>330.86445400000002</v>
      </c>
      <c r="AS60" s="641">
        <v>423.84807999999998</v>
      </c>
      <c r="AT60" s="641">
        <v>233.29078999999999</v>
      </c>
      <c r="AU60" s="641">
        <v>661.54069300000003</v>
      </c>
      <c r="AV60" s="581">
        <v>1892.1785090000001</v>
      </c>
      <c r="AW60" s="640">
        <v>0</v>
      </c>
      <c r="AX60" s="641">
        <v>13.578856110530218</v>
      </c>
      <c r="AY60" s="641">
        <v>141.8581269380461</v>
      </c>
      <c r="AZ60" s="641">
        <v>299.79935759887019</v>
      </c>
      <c r="BA60" s="641">
        <v>445.73406928692935</v>
      </c>
      <c r="BB60" s="641">
        <v>291.43866397898324</v>
      </c>
      <c r="BC60" s="641">
        <v>513.06597579589061</v>
      </c>
      <c r="BD60" s="581">
        <v>1806.4815451439711</v>
      </c>
      <c r="BE60" s="1143">
        <v>0</v>
      </c>
      <c r="BF60" s="1144">
        <v>29.645609251570001</v>
      </c>
      <c r="BG60" s="1144">
        <v>183.16454566415001</v>
      </c>
      <c r="BH60" s="1144">
        <v>384.49037129511902</v>
      </c>
      <c r="BI60" s="1144">
        <v>452.46255353864501</v>
      </c>
      <c r="BJ60" s="1144">
        <v>264.50195177333802</v>
      </c>
      <c r="BK60" s="1144">
        <v>445.90209388302799</v>
      </c>
      <c r="BL60" s="1145">
        <v>1708.7666210278601</v>
      </c>
      <c r="BN60" s="567" t="s">
        <v>582</v>
      </c>
      <c r="BO60" s="645">
        <v>277.90731899999997</v>
      </c>
      <c r="BP60" s="646">
        <v>2275.127755</v>
      </c>
      <c r="BQ60" s="646">
        <v>442.014499</v>
      </c>
      <c r="BR60" s="646">
        <v>334.95671399999998</v>
      </c>
      <c r="BS60" s="646">
        <v>366.783141</v>
      </c>
      <c r="BT60" s="581">
        <v>320.08065499999998</v>
      </c>
      <c r="BU60" s="645">
        <v>257.57567550725878</v>
      </c>
      <c r="BV60" s="646">
        <v>2223.251374193791</v>
      </c>
      <c r="BW60" s="646">
        <v>393.2720723820172</v>
      </c>
      <c r="BX60" s="646">
        <v>344.74830702453534</v>
      </c>
      <c r="BY60" s="646">
        <v>297.40559306585044</v>
      </c>
      <c r="BZ60" s="581">
        <v>257.27924506097781</v>
      </c>
      <c r="CA60" s="1143">
        <v>266.61861492311101</v>
      </c>
      <c r="CB60" s="1144">
        <v>2153.0740259741101</v>
      </c>
      <c r="CC60" s="1144">
        <v>371.95045681844198</v>
      </c>
      <c r="CD60" s="1144">
        <v>425.21324337887103</v>
      </c>
      <c r="CE60" s="1144">
        <v>288.16799144058302</v>
      </c>
      <c r="CF60" s="1145">
        <v>231.52802983709199</v>
      </c>
      <c r="CG60" s="429"/>
      <c r="CH60" s="567" t="s">
        <v>582</v>
      </c>
      <c r="CI60" s="580">
        <v>1109.0968399999999</v>
      </c>
      <c r="CJ60" s="568">
        <v>2338.9623120000001</v>
      </c>
      <c r="CK60" s="568">
        <v>568.81093099999998</v>
      </c>
      <c r="CL60" s="645">
        <v>979.9717591349098</v>
      </c>
      <c r="CM60" s="646">
        <v>2338.6273065260648</v>
      </c>
      <c r="CN60" s="646">
        <v>454.9332015734559</v>
      </c>
      <c r="CO60" s="1143">
        <v>1046.9611541757599</v>
      </c>
      <c r="CP60" s="1144">
        <v>2262.1151632596202</v>
      </c>
      <c r="CQ60" s="1145">
        <v>427.47604493683099</v>
      </c>
      <c r="CR60" s="429"/>
      <c r="DB60" s="426"/>
      <c r="DC60" s="426"/>
      <c r="DD60" s="426"/>
      <c r="DE60" s="426"/>
      <c r="DG60" s="567" t="s">
        <v>582</v>
      </c>
      <c r="DH60" s="1148" t="s">
        <v>771</v>
      </c>
      <c r="DI60" s="1151" t="s">
        <v>987</v>
      </c>
      <c r="DJ60" s="708" t="s">
        <v>988</v>
      </c>
      <c r="DK60" s="708" t="s">
        <v>989</v>
      </c>
      <c r="DL60" s="568" t="s">
        <v>990</v>
      </c>
      <c r="DM60" s="588" t="s">
        <v>830</v>
      </c>
      <c r="DO60" s="566" t="s">
        <v>582</v>
      </c>
      <c r="DP60" s="708">
        <v>1989.499133</v>
      </c>
      <c r="DQ60" s="568">
        <v>1783.6124957591355</v>
      </c>
      <c r="DR60" s="1145">
        <v>1778.0542319469</v>
      </c>
      <c r="DS60" s="63"/>
      <c r="DT60" s="567" t="s">
        <v>582</v>
      </c>
      <c r="DU60" s="707">
        <v>2977.8713499999999</v>
      </c>
      <c r="DV60" s="708">
        <v>2615.5331722261726</v>
      </c>
      <c r="DW60" s="1145">
        <v>2680.5512901256302</v>
      </c>
      <c r="DX60" s="63"/>
      <c r="DY60" s="567" t="s">
        <v>582</v>
      </c>
      <c r="DZ60" s="1090">
        <f t="shared" si="32"/>
        <v>1.496794494958948</v>
      </c>
      <c r="EA60" s="788">
        <f t="shared" si="33"/>
        <v>1.4664245616382934</v>
      </c>
      <c r="EB60" s="777">
        <f t="shared" si="34"/>
        <v>1.5075756644332108</v>
      </c>
      <c r="ED60" s="541"/>
      <c r="EE60" s="567" t="s">
        <v>582</v>
      </c>
      <c r="EF60" s="732">
        <v>1359.9228089999999</v>
      </c>
      <c r="EG60" s="732">
        <v>45.288891</v>
      </c>
      <c r="EH60" s="732">
        <v>304.94265899999999</v>
      </c>
      <c r="EI60" s="732">
        <v>192.33192600000001</v>
      </c>
      <c r="EJ60" s="732">
        <v>87.012846999999994</v>
      </c>
      <c r="EK60" s="703">
        <v>1257.3144895113028</v>
      </c>
      <c r="EL60" s="704">
        <v>46.078742899125878</v>
      </c>
      <c r="EM60" s="704">
        <v>253.95730862226023</v>
      </c>
      <c r="EN60" s="704">
        <v>153.17366732175441</v>
      </c>
      <c r="EO60" s="704">
        <v>73.088287404691911</v>
      </c>
      <c r="EP60" s="1137">
        <v>1238.86739690532</v>
      </c>
      <c r="EQ60" s="1138">
        <v>42.849394454189799</v>
      </c>
      <c r="ER60" s="1138">
        <v>234.532619704881</v>
      </c>
      <c r="ES60" s="1138">
        <v>168.174896108128</v>
      </c>
      <c r="ET60" s="1139">
        <v>93.629924774385302</v>
      </c>
      <c r="EV60" s="567" t="s">
        <v>582</v>
      </c>
      <c r="EW60" s="707">
        <v>759.07756400000005</v>
      </c>
      <c r="EX60" s="708">
        <v>306.42018200000001</v>
      </c>
      <c r="EY60" s="708">
        <v>191.28524999999999</v>
      </c>
      <c r="EZ60" s="708">
        <v>103.13981200000001</v>
      </c>
      <c r="FA60" s="707">
        <v>1022.039268</v>
      </c>
      <c r="FB60" s="708">
        <v>882.09517400000004</v>
      </c>
      <c r="FC60" s="708">
        <v>600.80492700000002</v>
      </c>
      <c r="FD60" s="708">
        <v>191.02466699999999</v>
      </c>
      <c r="FE60" s="707">
        <v>619.22332970760635</v>
      </c>
      <c r="FF60" s="708">
        <v>346.74135165771514</v>
      </c>
      <c r="FG60" s="708">
        <v>186.01275354016093</v>
      </c>
      <c r="FH60" s="581">
        <v>103.33705616884588</v>
      </c>
      <c r="FI60" s="707">
        <v>886.2598395120674</v>
      </c>
      <c r="FJ60" s="708">
        <v>856.89336230332106</v>
      </c>
      <c r="FK60" s="750">
        <v>461.71764120930118</v>
      </c>
      <c r="FL60" s="751">
        <v>172.08663884548258</v>
      </c>
      <c r="FM60" s="1143">
        <v>628.26773345849199</v>
      </c>
      <c r="FN60" s="1144">
        <v>272.69080756240197</v>
      </c>
      <c r="FO60" s="1144">
        <v>228.69296792011099</v>
      </c>
      <c r="FP60" s="1145">
        <v>106.62040564506199</v>
      </c>
      <c r="FQ60" s="1143">
        <v>942.54226631328697</v>
      </c>
      <c r="FR60" s="1144">
        <v>834.93071004734998</v>
      </c>
      <c r="FS60" s="1144">
        <v>470.25038258459603</v>
      </c>
      <c r="FT60" s="1145">
        <v>159.20930914959101</v>
      </c>
      <c r="FV60" s="566" t="s">
        <v>582</v>
      </c>
      <c r="FW60" s="708">
        <v>324.61224499999997</v>
      </c>
      <c r="FX60" s="708">
        <v>153.49908099999999</v>
      </c>
      <c r="FY60" s="708">
        <v>70.039323999999993</v>
      </c>
      <c r="FZ60" s="581">
        <v>37.205210999999998</v>
      </c>
      <c r="GA60" s="707">
        <v>272.66288301877734</v>
      </c>
      <c r="GB60" s="708">
        <v>113.722670789364</v>
      </c>
      <c r="GC60" s="708">
        <v>75.18984952217572</v>
      </c>
      <c r="GD60" s="581">
        <v>22.008939815715397</v>
      </c>
      <c r="GE60" s="1143">
        <v>248.027960676189</v>
      </c>
      <c r="GF60" s="1144">
        <v>116.39391543978201</v>
      </c>
      <c r="GG60" s="1144">
        <v>112.076890497064</v>
      </c>
      <c r="GH60" s="1145">
        <v>22.913448686653279</v>
      </c>
      <c r="GJ60" s="567" t="s">
        <v>582</v>
      </c>
      <c r="GK60" s="707">
        <v>2216.4975749999999</v>
      </c>
      <c r="GL60" s="708">
        <v>2078.4986029569859</v>
      </c>
      <c r="GM60" s="1145">
        <v>2117.0018064231799</v>
      </c>
      <c r="GO60" s="567" t="s">
        <v>582</v>
      </c>
      <c r="GP60" s="703">
        <v>1987.4991359999999</v>
      </c>
      <c r="GQ60" s="704">
        <v>42.710541999999997</v>
      </c>
      <c r="GR60" s="173">
        <v>186.28789699999999</v>
      </c>
      <c r="GS60" s="703">
        <v>1787.6124926330845</v>
      </c>
      <c r="GT60" s="704">
        <v>92.226829754870764</v>
      </c>
      <c r="GU60" s="173">
        <v>198.65928056903047</v>
      </c>
      <c r="GV60" s="1137">
        <v>1779.0542329622899</v>
      </c>
      <c r="GW60" s="1138">
        <v>87.866069208819894</v>
      </c>
      <c r="GX60" s="1139">
        <v>250.08150425207299</v>
      </c>
      <c r="GZ60" s="567" t="s">
        <v>582</v>
      </c>
      <c r="HA60" s="703">
        <v>250.96920399999999</v>
      </c>
      <c r="HB60" s="704">
        <v>1925.2894759999999</v>
      </c>
      <c r="HC60" s="173">
        <f t="shared" si="7"/>
        <v>40.238894999999957</v>
      </c>
      <c r="HD60" s="703">
        <v>152.27202324315749</v>
      </c>
      <c r="HE60" s="704">
        <v>1852.3727837963293</v>
      </c>
      <c r="HF60" s="173">
        <f t="shared" si="8"/>
        <v>73.853795917499156</v>
      </c>
      <c r="HG60" s="583">
        <v>138.88378805569701</v>
      </c>
      <c r="HH60" s="1138">
        <v>1904.0980060484801</v>
      </c>
      <c r="HI60" s="173">
        <f t="shared" si="9"/>
        <v>74.020012319002717</v>
      </c>
      <c r="HK60" s="567" t="s">
        <v>582</v>
      </c>
      <c r="HL60" s="707">
        <v>1987.4991359999999</v>
      </c>
      <c r="HM60" s="708">
        <v>5020.7042929999998</v>
      </c>
      <c r="HN60" s="777">
        <f t="shared" si="10"/>
        <v>2.5261416229365343</v>
      </c>
      <c r="HO60" s="707">
        <v>1787.6124926330845</v>
      </c>
      <c r="HP60" s="708">
        <v>4499.2136993220483</v>
      </c>
      <c r="HQ60" s="777">
        <f t="shared" si="11"/>
        <v>2.5168842340628754</v>
      </c>
      <c r="HR60" s="1144">
        <v>1779.0542329622899</v>
      </c>
      <c r="HS60" s="1144">
        <v>4773.5855398908898</v>
      </c>
      <c r="HT60" s="786">
        <f t="shared" si="12"/>
        <v>2.6832153013921491</v>
      </c>
      <c r="HV60" s="567" t="s">
        <v>582</v>
      </c>
      <c r="HW60" s="580">
        <v>245.15905100000001</v>
      </c>
      <c r="HX60" s="568">
        <v>989.45128299999999</v>
      </c>
      <c r="HY60" s="788">
        <f t="shared" si="13"/>
        <v>4.0359565717196384</v>
      </c>
      <c r="HZ60" s="708">
        <v>1702.101189</v>
      </c>
      <c r="IA60" s="708">
        <v>3969.6613390000002</v>
      </c>
      <c r="IB60" s="788">
        <f t="shared" si="14"/>
        <v>2.3322123059747186</v>
      </c>
      <c r="IC60" s="703">
        <v>148.92219404919868</v>
      </c>
      <c r="ID60" s="704">
        <v>677.88046463713226</v>
      </c>
      <c r="IE60" s="787">
        <f t="shared" si="15"/>
        <v>4.5519102707631633</v>
      </c>
      <c r="IF60" s="704">
        <v>1576.7557386940514</v>
      </c>
      <c r="IG60" s="704">
        <v>3747.4794480824512</v>
      </c>
      <c r="IH60" s="787">
        <f t="shared" si="16"/>
        <v>2.3767025900830414</v>
      </c>
      <c r="II60" s="1137">
        <v>131.93156331491099</v>
      </c>
      <c r="IJ60" s="1138">
        <v>606.12874908029698</v>
      </c>
      <c r="IK60" s="1170">
        <f t="shared" si="17"/>
        <v>4.5942664048747153</v>
      </c>
      <c r="IL60" s="1138">
        <v>1579.98118145747</v>
      </c>
      <c r="IM60" s="1138">
        <v>4086.6846883126</v>
      </c>
      <c r="IN60" s="1171">
        <f t="shared" si="18"/>
        <v>2.5865401033085695</v>
      </c>
      <c r="IP60" s="567" t="s">
        <v>582</v>
      </c>
      <c r="IQ60" s="580">
        <v>877.67784900000004</v>
      </c>
      <c r="IR60" s="708">
        <v>168.59974199999999</v>
      </c>
      <c r="IS60" s="708">
        <v>302.04321099999999</v>
      </c>
      <c r="IT60" s="708">
        <v>366.92791799999998</v>
      </c>
      <c r="IU60" s="708">
        <v>272.25041599999997</v>
      </c>
      <c r="IV60" s="708">
        <v>5020.7042929999998</v>
      </c>
      <c r="IW60" s="707">
        <v>769.22037977359071</v>
      </c>
      <c r="IX60" s="708">
        <v>193.8047308527411</v>
      </c>
      <c r="IY60" s="708">
        <v>256.45000173461153</v>
      </c>
      <c r="IZ60" s="708">
        <v>341.89481537023772</v>
      </c>
      <c r="JA60" s="708">
        <v>226.24256490190356</v>
      </c>
      <c r="JB60" s="581">
        <v>4499.2136993220483</v>
      </c>
      <c r="JC60" s="1143">
        <v>655.699404405873</v>
      </c>
      <c r="JD60" s="1144">
        <v>231.89109723627399</v>
      </c>
      <c r="JE60" s="1144">
        <v>254.32211783640301</v>
      </c>
      <c r="JF60" s="1144">
        <v>363.46672959014302</v>
      </c>
      <c r="JG60" s="1144">
        <v>273.67488389359499</v>
      </c>
      <c r="JH60" s="1145">
        <v>4773.5855398908898</v>
      </c>
      <c r="JJ60" s="567" t="s">
        <v>582</v>
      </c>
      <c r="JK60" s="580">
        <v>680.57169199999998</v>
      </c>
      <c r="JL60" s="568">
        <v>896.66918100000009</v>
      </c>
      <c r="JM60" s="568">
        <v>340.342984</v>
      </c>
      <c r="JN60" s="581">
        <v>69.915278000000001</v>
      </c>
      <c r="JO60" s="703">
        <v>603.09635665492578</v>
      </c>
      <c r="JP60" s="704">
        <v>880.66880014224944</v>
      </c>
      <c r="JQ60" s="704">
        <v>242.51407915521759</v>
      </c>
      <c r="JR60" s="173">
        <v>61.33325668069164</v>
      </c>
      <c r="JS60" s="1137">
        <v>652.29812115200502</v>
      </c>
      <c r="JT60" s="1138">
        <v>960.98443743825499</v>
      </c>
      <c r="JU60" s="1138">
        <v>104.971785668845</v>
      </c>
      <c r="JV60" s="1139">
        <v>60.799888703178702</v>
      </c>
      <c r="JX60" s="567" t="s">
        <v>582</v>
      </c>
      <c r="JY60" s="703">
        <v>551.53745975893401</v>
      </c>
      <c r="JZ60" s="704">
        <v>553.93665305040497</v>
      </c>
      <c r="KA60" s="704">
        <v>167.53226367536601</v>
      </c>
      <c r="KB60" s="173">
        <v>506.04785647758303</v>
      </c>
      <c r="KC60" s="603"/>
      <c r="KD60" s="567" t="s">
        <v>582</v>
      </c>
      <c r="KE60" s="707">
        <v>6.9153814567119696</v>
      </c>
      <c r="KF60" s="708">
        <v>5.22631758594048</v>
      </c>
      <c r="KG60" s="708">
        <v>731.42340073102298</v>
      </c>
      <c r="KH60" s="708">
        <v>395.56150666189001</v>
      </c>
      <c r="KI60" s="708">
        <v>313.38321362387597</v>
      </c>
      <c r="KJ60" s="581">
        <v>90.752299794748495</v>
      </c>
      <c r="KK60" s="707">
        <v>7.1909666692765004</v>
      </c>
      <c r="KL60" s="708">
        <v>0</v>
      </c>
      <c r="KM60" s="708">
        <v>49.226523563720598</v>
      </c>
      <c r="KN60" s="708">
        <v>63.985095853055903</v>
      </c>
      <c r="KO60" s="708">
        <v>10.5090032954338</v>
      </c>
      <c r="KP60" s="581">
        <v>1.0199739334245701</v>
      </c>
      <c r="KQ60" s="707">
        <v>14.1063481259885</v>
      </c>
      <c r="KR60" s="708">
        <v>5.22631758594048</v>
      </c>
      <c r="KS60" s="708">
        <v>784.72982002844196</v>
      </c>
      <c r="KT60" s="708">
        <v>489.22712275442501</v>
      </c>
      <c r="KU60" s="708">
        <v>353.96047149812603</v>
      </c>
      <c r="KV60" s="581">
        <v>95.085091366082096</v>
      </c>
      <c r="KW60" s="429"/>
      <c r="KX60" s="567" t="s">
        <v>582</v>
      </c>
      <c r="KY60" s="580">
        <f t="shared" si="35"/>
        <v>572.02392899999995</v>
      </c>
      <c r="KZ60" s="568">
        <v>1161.1751240000001</v>
      </c>
      <c r="LA60" s="581">
        <v>256.30007999999998</v>
      </c>
      <c r="LB60" s="580">
        <f t="shared" si="36"/>
        <v>584.74958279101565</v>
      </c>
      <c r="LC60" s="704">
        <v>963.08532773724244</v>
      </c>
      <c r="LD60" s="173">
        <v>235.77758523087746</v>
      </c>
      <c r="LE60" s="580">
        <f t="shared" si="37"/>
        <v>501.83152580677302</v>
      </c>
      <c r="LF60" s="1144">
        <v>1022.8427405441799</v>
      </c>
      <c r="LG60" s="1145">
        <v>253.379965595947</v>
      </c>
      <c r="LH60" s="426"/>
      <c r="LI60" s="567" t="s">
        <v>582</v>
      </c>
      <c r="LJ60" s="580">
        <v>1218.8305760000001</v>
      </c>
      <c r="LK60" s="568">
        <v>1020.140069</v>
      </c>
      <c r="LL60" s="568">
        <v>198.690507</v>
      </c>
      <c r="LM60" s="568">
        <v>1777.313911</v>
      </c>
      <c r="LN60" s="568">
        <v>109.761089</v>
      </c>
      <c r="LO60" s="581">
        <v>64.246257</v>
      </c>
      <c r="LP60" s="703">
        <v>1270.7201482508824</v>
      </c>
      <c r="LQ60" s="704">
        <v>938.58586759044204</v>
      </c>
      <c r="LR60" s="704">
        <v>332.13428066044054</v>
      </c>
      <c r="LS60" s="704">
        <v>1598.0691648750242</v>
      </c>
      <c r="LT60" s="704">
        <v>85.668749272501373</v>
      </c>
      <c r="LU60" s="173">
        <v>106.56532775530781</v>
      </c>
      <c r="LV60" s="1137">
        <v>1387.8869101411599</v>
      </c>
      <c r="LW60" s="1138">
        <v>1049.8578875129399</v>
      </c>
      <c r="LX60" s="1138">
        <v>338.02902262821999</v>
      </c>
      <c r="LY60" s="1138">
        <v>1510.3408380384301</v>
      </c>
      <c r="LZ60" s="1138">
        <v>61.118171041599197</v>
      </c>
      <c r="MA60" s="1139">
        <v>83.111783291079604</v>
      </c>
      <c r="MC60" s="567" t="s">
        <v>582</v>
      </c>
      <c r="MD60" s="703">
        <v>0</v>
      </c>
      <c r="ME60" s="704">
        <v>20.830939000000001</v>
      </c>
      <c r="MF60" s="704">
        <v>165.14854500000001</v>
      </c>
      <c r="MG60" s="704">
        <v>292.15569900000003</v>
      </c>
      <c r="MH60" s="704">
        <v>355.584721</v>
      </c>
      <c r="MI60" s="173">
        <v>181.42017100000001</v>
      </c>
      <c r="MJ60" s="703">
        <v>0</v>
      </c>
      <c r="MK60" s="704">
        <v>6.2407007423278316</v>
      </c>
      <c r="ML60" s="704">
        <v>122.62416668115192</v>
      </c>
      <c r="MM60" s="704">
        <v>244.14768608578373</v>
      </c>
      <c r="MN60" s="704">
        <v>340.54973009148</v>
      </c>
      <c r="MO60" s="173">
        <v>207.02359805692743</v>
      </c>
      <c r="MP60" s="1137">
        <v>0</v>
      </c>
      <c r="MQ60" s="1138">
        <v>8.1597914673965803</v>
      </c>
      <c r="MR60" s="1138">
        <v>166.50204989122301</v>
      </c>
      <c r="MS60" s="1138">
        <v>341.71275905497998</v>
      </c>
      <c r="MT60" s="1138">
        <v>325.72103179399198</v>
      </c>
      <c r="MU60" s="1139">
        <v>179.76222687456701</v>
      </c>
      <c r="MW60" s="567" t="s">
        <v>582</v>
      </c>
      <c r="MX60" s="580">
        <v>1024.700662</v>
      </c>
      <c r="MY60" s="568">
        <v>969.80442900000003</v>
      </c>
      <c r="MZ60" s="568">
        <v>54.896233000000002</v>
      </c>
      <c r="NA60" s="707">
        <v>947.36595489671481</v>
      </c>
      <c r="NB60" s="708">
        <v>905.08034711136997</v>
      </c>
      <c r="NC60" s="581">
        <v>42.285607785344808</v>
      </c>
      <c r="ND60" s="1143">
        <v>1063.8102995500701</v>
      </c>
      <c r="NE60" s="1144">
        <v>1042.4395624030401</v>
      </c>
      <c r="NF60" s="1145">
        <v>21.370737147022702</v>
      </c>
      <c r="NH60" s="567" t="s">
        <v>582</v>
      </c>
      <c r="NI60" s="707">
        <v>695.58142427521614</v>
      </c>
      <c r="NJ60" s="581">
        <v>209.49892283615372</v>
      </c>
      <c r="NK60" s="707">
        <v>32.644767119715624</v>
      </c>
      <c r="NL60" s="708">
        <v>8.6408414471419182</v>
      </c>
      <c r="NM60" s="581">
        <v>0.99999921848726903</v>
      </c>
      <c r="NN60" s="1143">
        <v>805.54347391733302</v>
      </c>
      <c r="NO60" s="1145">
        <v>236.89608848571018</v>
      </c>
      <c r="NP60" s="1143">
        <v>11.1198486774725</v>
      </c>
      <c r="NQ60" s="1144">
        <v>10.250888469550199</v>
      </c>
      <c r="NR60" s="1145">
        <v>0</v>
      </c>
      <c r="NS60" s="136"/>
      <c r="NT60" s="567" t="s">
        <v>582</v>
      </c>
      <c r="NU60" s="703">
        <v>101.94771093315239</v>
      </c>
      <c r="NV60" s="704">
        <v>21.850241541379571</v>
      </c>
      <c r="NW60" s="704">
        <v>11.952878341470283</v>
      </c>
      <c r="NX60" s="173">
        <v>73.748092020151475</v>
      </c>
      <c r="NY60" s="1137">
        <v>128.76055124458699</v>
      </c>
      <c r="NZ60" s="1138">
        <v>27.262462832755102</v>
      </c>
      <c r="OA60" s="1138">
        <v>0</v>
      </c>
      <c r="OB60" s="1139">
        <v>80.873074408368097</v>
      </c>
      <c r="OC60" s="553"/>
      <c r="OD60" s="567" t="s">
        <v>582</v>
      </c>
      <c r="OE60" s="707">
        <v>52.993058444484902</v>
      </c>
      <c r="OF60" s="708">
        <v>69.172681572209996</v>
      </c>
      <c r="OG60" s="708">
        <v>87.292523595564205</v>
      </c>
      <c r="OH60" s="708">
        <v>81.593244466793294</v>
      </c>
      <c r="OI60" s="708">
        <v>1548.0299960369</v>
      </c>
      <c r="OJ60" s="708">
        <v>218.98474204230601</v>
      </c>
      <c r="OK60" s="581">
        <v>65.205025355667999</v>
      </c>
      <c r="OL60" s="707">
        <v>73.763492701666806</v>
      </c>
      <c r="OM60" s="708">
        <v>72.929809008919605</v>
      </c>
      <c r="ON60" s="708">
        <v>87.292523595564205</v>
      </c>
      <c r="OO60" s="708">
        <v>88.641037368927599</v>
      </c>
      <c r="OP60" s="708">
        <v>1705.9020940523999</v>
      </c>
      <c r="OQ60" s="708">
        <v>358.53089455278899</v>
      </c>
      <c r="OR60" s="581">
        <v>1316.85972147499</v>
      </c>
      <c r="OT60" s="567" t="s">
        <v>582</v>
      </c>
      <c r="OU60" s="580">
        <v>522.29091599999992</v>
      </c>
      <c r="OV60" s="568">
        <v>432.687814</v>
      </c>
      <c r="OW60" s="568">
        <v>247.81045900000001</v>
      </c>
      <c r="OX60" s="581">
        <v>466.052074</v>
      </c>
      <c r="OY60" s="703">
        <v>398.30376751875258</v>
      </c>
      <c r="OZ60" s="704">
        <v>396.8580783576183</v>
      </c>
      <c r="PA60" s="704">
        <v>336.2093842001612</v>
      </c>
      <c r="PB60" s="173">
        <v>458.36599498632472</v>
      </c>
      <c r="PC60" s="1137">
        <v>281.7647710997955</v>
      </c>
      <c r="PD60" s="1138">
        <v>396.67000744834201</v>
      </c>
      <c r="PE60" s="1138">
        <v>287.57923484108198</v>
      </c>
      <c r="PF60" s="1139">
        <v>590.10672615821295</v>
      </c>
      <c r="PH60" s="567" t="s">
        <v>582</v>
      </c>
      <c r="PI60" s="707">
        <v>115.1568951996815</v>
      </c>
      <c r="PJ60" s="708">
        <v>181.33837405518599</v>
      </c>
      <c r="PK60" s="708">
        <v>122.54094780657999</v>
      </c>
      <c r="PL60" s="581">
        <v>272.54165423373388</v>
      </c>
      <c r="PM60" s="707">
        <v>166.6078759001141</v>
      </c>
      <c r="PN60" s="708">
        <v>215.33163339315499</v>
      </c>
      <c r="PO60" s="708">
        <v>165.03828703450199</v>
      </c>
      <c r="PP60" s="581">
        <v>317.5650719244785</v>
      </c>
      <c r="PQ60" s="65"/>
      <c r="PR60" s="567" t="s">
        <v>582</v>
      </c>
      <c r="PS60" s="1044">
        <v>39.779043928668202</v>
      </c>
      <c r="PT60" s="1045">
        <v>79.158642664437195</v>
      </c>
      <c r="PU60" s="1045">
        <v>47.4279756033674</v>
      </c>
      <c r="PV60" s="1045">
        <v>12.2261530378029</v>
      </c>
      <c r="PW60" s="1045">
        <v>672.71407936582204</v>
      </c>
      <c r="PX60" s="1046">
        <v>184.50437651918801</v>
      </c>
      <c r="PZ60" s="567" t="s">
        <v>582</v>
      </c>
      <c r="QA60" s="1044">
        <v>642.55775113376706</v>
      </c>
      <c r="QB60" s="1045">
        <v>421.25254841629902</v>
      </c>
      <c r="QC60" s="1045">
        <v>343.43724177985001</v>
      </c>
      <c r="QD60" s="1045">
        <v>21.758532025600001</v>
      </c>
      <c r="QE60" s="1045">
        <v>56.056774610848102</v>
      </c>
      <c r="QF60" s="1046">
        <v>0</v>
      </c>
    </row>
    <row r="61" spans="1:448" ht="13.5" customHeight="1">
      <c r="A61" s="595" t="s">
        <v>526</v>
      </c>
      <c r="B61" s="564" t="s">
        <v>583</v>
      </c>
      <c r="C61" s="1103">
        <v>1793.551187</v>
      </c>
      <c r="D61" s="690">
        <v>2020.9411941483124</v>
      </c>
      <c r="E61" s="691">
        <v>1610.22552966949</v>
      </c>
      <c r="F61" s="428"/>
      <c r="G61" s="565" t="s">
        <v>583</v>
      </c>
      <c r="H61" s="686">
        <f t="shared" si="5"/>
        <v>2.4160401608027904E-2</v>
      </c>
      <c r="I61" s="668">
        <f t="shared" si="6"/>
        <v>-4.4420979626847545E-2</v>
      </c>
      <c r="J61" s="612"/>
      <c r="K61" s="63"/>
      <c r="L61" s="564" t="s">
        <v>583</v>
      </c>
      <c r="M61" s="636">
        <v>37</v>
      </c>
      <c r="N61" s="637">
        <v>26</v>
      </c>
      <c r="O61" s="637">
        <v>28</v>
      </c>
      <c r="P61" s="637">
        <v>38</v>
      </c>
      <c r="Q61" s="637">
        <v>29</v>
      </c>
      <c r="R61" s="637">
        <v>28</v>
      </c>
      <c r="S61" s="637">
        <v>31</v>
      </c>
      <c r="T61" s="637">
        <v>35</v>
      </c>
      <c r="U61" s="1138">
        <v>25</v>
      </c>
      <c r="V61" s="1138">
        <v>28</v>
      </c>
      <c r="W61" s="1139">
        <v>24</v>
      </c>
      <c r="X61" s="565" t="s">
        <v>583</v>
      </c>
      <c r="Y61" s="666">
        <v>31.5</v>
      </c>
      <c r="Z61" s="667">
        <v>33</v>
      </c>
      <c r="AA61" s="667">
        <v>28.5</v>
      </c>
      <c r="AB61" s="667">
        <v>33</v>
      </c>
      <c r="AC61" s="667">
        <v>33</v>
      </c>
      <c r="AD61" s="668">
        <v>4.7619047619047616E-2</v>
      </c>
      <c r="AE61" s="668">
        <v>-0.13636363636363635</v>
      </c>
      <c r="AF61" s="668">
        <v>0.15789473684210525</v>
      </c>
      <c r="AG61" s="1213">
        <v>-0.13636363636363635</v>
      </c>
      <c r="AN61" s="565" t="s">
        <v>583</v>
      </c>
      <c r="AO61" s="636">
        <v>0</v>
      </c>
      <c r="AP61" s="637">
        <v>17.566074</v>
      </c>
      <c r="AQ61" s="637">
        <v>50.521135999999998</v>
      </c>
      <c r="AR61" s="637">
        <v>197.37734499999999</v>
      </c>
      <c r="AS61" s="637">
        <v>331.80374499999999</v>
      </c>
      <c r="AT61" s="637">
        <v>196.41190900000001</v>
      </c>
      <c r="AU61" s="637">
        <v>398.50344899999999</v>
      </c>
      <c r="AV61" s="173">
        <v>319.785954</v>
      </c>
      <c r="AW61" s="636">
        <v>0</v>
      </c>
      <c r="AX61" s="637">
        <v>38.43568589689734</v>
      </c>
      <c r="AY61" s="637">
        <v>47.600324268818753</v>
      </c>
      <c r="AZ61" s="637">
        <v>120.23425561770668</v>
      </c>
      <c r="BA61" s="637">
        <v>418.5542379517712</v>
      </c>
      <c r="BB61" s="637">
        <v>272.73037858550123</v>
      </c>
      <c r="BC61" s="637">
        <v>215.98929376250476</v>
      </c>
      <c r="BD61" s="173">
        <v>410.49298638333823</v>
      </c>
      <c r="BE61" s="1137">
        <v>0</v>
      </c>
      <c r="BF61" s="1138">
        <v>11.459449900817001</v>
      </c>
      <c r="BG61" s="1138">
        <v>38.282512571987802</v>
      </c>
      <c r="BH61" s="1138">
        <v>168.293773739258</v>
      </c>
      <c r="BI61" s="1138">
        <v>267.73120682469198</v>
      </c>
      <c r="BJ61" s="1138">
        <v>266.912569581811</v>
      </c>
      <c r="BK61" s="1138">
        <v>256.43622667183598</v>
      </c>
      <c r="BL61" s="1139">
        <v>362.64946469818699</v>
      </c>
      <c r="BN61" s="565" t="s">
        <v>583</v>
      </c>
      <c r="BO61" s="647">
        <v>279.58157699999998</v>
      </c>
      <c r="BP61" s="648">
        <v>587.51813700000002</v>
      </c>
      <c r="BQ61" s="648">
        <v>303.45650000000001</v>
      </c>
      <c r="BR61" s="648">
        <v>210.748752</v>
      </c>
      <c r="BS61" s="648">
        <v>249.153819</v>
      </c>
      <c r="BT61" s="173">
        <v>163.09240199999999</v>
      </c>
      <c r="BU61" s="647">
        <v>492.90403480782521</v>
      </c>
      <c r="BV61" s="648">
        <v>558.3578460096511</v>
      </c>
      <c r="BW61" s="648">
        <v>383.43516096235328</v>
      </c>
      <c r="BX61" s="648">
        <v>335.78423229295572</v>
      </c>
      <c r="BY61" s="648">
        <v>127.45029321139272</v>
      </c>
      <c r="BZ61" s="173">
        <v>123.00962686413426</v>
      </c>
      <c r="CA61" s="1137">
        <v>238.46032568090399</v>
      </c>
      <c r="CB61" s="1138">
        <v>491.51813771464498</v>
      </c>
      <c r="CC61" s="1138">
        <v>238.96626373391399</v>
      </c>
      <c r="CD61" s="1138">
        <v>331.48099708944397</v>
      </c>
      <c r="CE61" s="1138">
        <v>215.41041803953499</v>
      </c>
      <c r="CF61" s="1139">
        <v>94.389387411050905</v>
      </c>
      <c r="CG61" s="429"/>
      <c r="CH61" s="565" t="s">
        <v>583</v>
      </c>
      <c r="CI61" s="172">
        <v>418.47748000000001</v>
      </c>
      <c r="CJ61" s="337">
        <v>1022.1799099999999</v>
      </c>
      <c r="CK61" s="337">
        <v>352.893798</v>
      </c>
      <c r="CL61" s="647">
        <v>654.34027362350275</v>
      </c>
      <c r="CM61" s="648">
        <v>1162.9549518061899</v>
      </c>
      <c r="CN61" s="648">
        <v>203.64596871861983</v>
      </c>
      <c r="CO61" s="1137">
        <v>426.68923524562098</v>
      </c>
      <c r="CP61" s="1138">
        <v>972.98064004908804</v>
      </c>
      <c r="CQ61" s="1139">
        <v>210.55565437478401</v>
      </c>
      <c r="CR61" s="429"/>
      <c r="DB61" s="426"/>
      <c r="DC61" s="426"/>
      <c r="DD61" s="426"/>
      <c r="DE61" s="426"/>
      <c r="DG61" s="565" t="s">
        <v>583</v>
      </c>
      <c r="DH61" s="1147" t="s">
        <v>772</v>
      </c>
      <c r="DI61" s="1150" t="s">
        <v>991</v>
      </c>
      <c r="DJ61" s="704" t="s">
        <v>992</v>
      </c>
      <c r="DK61" s="704" t="s">
        <v>993</v>
      </c>
      <c r="DL61" s="337" t="s">
        <v>994</v>
      </c>
      <c r="DM61" s="174" t="s">
        <v>877</v>
      </c>
      <c r="DO61" s="564" t="s">
        <v>583</v>
      </c>
      <c r="DP61" s="704">
        <v>979.17720699999995</v>
      </c>
      <c r="DQ61" s="337">
        <v>1004.584457628158</v>
      </c>
      <c r="DR61" s="1139">
        <v>985.39370143561098</v>
      </c>
      <c r="DS61" s="63"/>
      <c r="DT61" s="565" t="s">
        <v>583</v>
      </c>
      <c r="DU61" s="703">
        <v>1762.5512249999999</v>
      </c>
      <c r="DV61" s="704">
        <v>2004.941206652516</v>
      </c>
      <c r="DW61" s="1139">
        <v>1610.22552966949</v>
      </c>
      <c r="DX61" s="63"/>
      <c r="DY61" s="565" t="s">
        <v>583</v>
      </c>
      <c r="DZ61" s="1089">
        <f t="shared" si="32"/>
        <v>1.8000329382667095</v>
      </c>
      <c r="EA61" s="787">
        <f t="shared" si="33"/>
        <v>1.9957915846978345</v>
      </c>
      <c r="EB61" s="776">
        <f t="shared" si="34"/>
        <v>1.6340935885053531</v>
      </c>
      <c r="ED61" s="541"/>
      <c r="EE61" s="565" t="s">
        <v>583</v>
      </c>
      <c r="EF61" s="732">
        <v>504.04804799999999</v>
      </c>
      <c r="EG61" s="732">
        <v>22.387481000000001</v>
      </c>
      <c r="EH61" s="732">
        <v>225.12669500000001</v>
      </c>
      <c r="EI61" s="732">
        <v>134.427819</v>
      </c>
      <c r="EJ61" s="732">
        <v>93.187163999999996</v>
      </c>
      <c r="EK61" s="703">
        <v>518.14092281747958</v>
      </c>
      <c r="EL61" s="704">
        <v>22.558512717721683</v>
      </c>
      <c r="EM61" s="704">
        <v>120.09139675142148</v>
      </c>
      <c r="EN61" s="704">
        <v>162.20425383982692</v>
      </c>
      <c r="EO61" s="704">
        <v>181.58937150170846</v>
      </c>
      <c r="EP61" s="1137">
        <v>618.00486956540999</v>
      </c>
      <c r="EQ61" s="1138">
        <v>15.255173017895</v>
      </c>
      <c r="ER61" s="1138">
        <v>127.74236313545801</v>
      </c>
      <c r="ES61" s="1138">
        <v>111.777880569941</v>
      </c>
      <c r="ET61" s="1139">
        <v>112.613415146907</v>
      </c>
      <c r="EV61" s="565" t="s">
        <v>583</v>
      </c>
      <c r="EW61" s="703">
        <v>222.55596399999999</v>
      </c>
      <c r="EX61" s="704">
        <v>126.41457</v>
      </c>
      <c r="EY61" s="704">
        <v>102.01535</v>
      </c>
      <c r="EZ61" s="704">
        <v>52.062165</v>
      </c>
      <c r="FA61" s="703">
        <v>427.27794499999999</v>
      </c>
      <c r="FB61" s="704">
        <v>606.96461599999998</v>
      </c>
      <c r="FC61" s="704">
        <v>382.58481499999999</v>
      </c>
      <c r="FD61" s="704">
        <v>91.142241999999996</v>
      </c>
      <c r="FE61" s="703">
        <v>156.2853326777074</v>
      </c>
      <c r="FF61" s="704">
        <v>194.19255985264471</v>
      </c>
      <c r="FG61" s="704">
        <v>128.8229110629311</v>
      </c>
      <c r="FH61" s="173">
        <v>38.840119224196442</v>
      </c>
      <c r="FI61" s="703">
        <v>389.69013222511353</v>
      </c>
      <c r="FJ61" s="704">
        <v>785.07220674354517</v>
      </c>
      <c r="FK61" s="746">
        <v>274.60620084891968</v>
      </c>
      <c r="FL61" s="747">
        <v>74.668622648959655</v>
      </c>
      <c r="FM61" s="1137">
        <v>221.89058728007299</v>
      </c>
      <c r="FN61" s="1138">
        <v>152.97285055739499</v>
      </c>
      <c r="FO61" s="1138">
        <v>207.95020788820801</v>
      </c>
      <c r="FP61" s="1139">
        <v>35.191223839733901</v>
      </c>
      <c r="FQ61" s="1137">
        <v>407.847045357794</v>
      </c>
      <c r="FR61" s="1138">
        <v>565.54736772226295</v>
      </c>
      <c r="FS61" s="1138">
        <v>334.97003449422698</v>
      </c>
      <c r="FT61" s="1139">
        <v>63.400756414304503</v>
      </c>
      <c r="FV61" s="564" t="s">
        <v>583</v>
      </c>
      <c r="FW61" s="337">
        <v>238.70415800000001</v>
      </c>
      <c r="FX61" s="337">
        <v>133.33829800000001</v>
      </c>
      <c r="FY61" s="337">
        <v>67.440040999999994</v>
      </c>
      <c r="FZ61" s="173">
        <v>22.069198999999998</v>
      </c>
      <c r="GA61" s="703">
        <v>152.42912807244056</v>
      </c>
      <c r="GB61" s="704">
        <v>114.07648447668764</v>
      </c>
      <c r="GC61" s="704">
        <v>129.17501560406728</v>
      </c>
      <c r="GD61" s="173">
        <v>71.462806888792443</v>
      </c>
      <c r="GE61" s="1137">
        <v>135.602595596578</v>
      </c>
      <c r="GF61" s="1138">
        <v>116.815376600565</v>
      </c>
      <c r="GG61" s="1138">
        <v>80.615540226183597</v>
      </c>
      <c r="GH61" s="1139">
        <v>22.9122863107252</v>
      </c>
      <c r="GJ61" s="565" t="s">
        <v>583</v>
      </c>
      <c r="GK61" s="703">
        <v>1094.9988020000001</v>
      </c>
      <c r="GL61" s="704">
        <v>1103.9992149038435</v>
      </c>
      <c r="GM61" s="1139">
        <v>1108.00100055299</v>
      </c>
      <c r="GO61" s="565" t="s">
        <v>583</v>
      </c>
      <c r="GP61" s="703">
        <v>982.17720299999996</v>
      </c>
      <c r="GQ61" s="704">
        <v>12.255103</v>
      </c>
      <c r="GR61" s="173">
        <v>100.566496</v>
      </c>
      <c r="GS61" s="703">
        <v>1004.584457628158</v>
      </c>
      <c r="GT61" s="704">
        <v>12.680859848571655</v>
      </c>
      <c r="GU61" s="173">
        <v>86.733897427113604</v>
      </c>
      <c r="GV61" s="1137">
        <v>985.39370143561098</v>
      </c>
      <c r="GW61" s="1138">
        <v>33.022747610659003</v>
      </c>
      <c r="GX61" s="1139">
        <v>89.584551506716096</v>
      </c>
      <c r="GZ61" s="565" t="s">
        <v>583</v>
      </c>
      <c r="HA61" s="172">
        <v>14.710430000000001</v>
      </c>
      <c r="HB61" s="337">
        <v>1067.4764640000001</v>
      </c>
      <c r="HC61" s="173">
        <f t="shared" si="7"/>
        <v>12.811907999999903</v>
      </c>
      <c r="HD61" s="703">
        <v>13.083166021752801</v>
      </c>
      <c r="HE61" s="704">
        <v>1043.0785477137113</v>
      </c>
      <c r="HF61" s="173">
        <f t="shared" si="8"/>
        <v>47.837501168379504</v>
      </c>
      <c r="HG61" s="583">
        <v>0</v>
      </c>
      <c r="HH61" s="1138">
        <v>1100.1145480534401</v>
      </c>
      <c r="HI61" s="173">
        <f t="shared" si="9"/>
        <v>7.8864524995499323</v>
      </c>
      <c r="HK61" s="565" t="s">
        <v>583</v>
      </c>
      <c r="HL61" s="704">
        <v>982.17720299999996</v>
      </c>
      <c r="HM61" s="704">
        <v>2908.7737010000001</v>
      </c>
      <c r="HN61" s="776">
        <f t="shared" si="10"/>
        <v>2.9615569289485943</v>
      </c>
      <c r="HO61" s="703">
        <v>1004.584457628158</v>
      </c>
      <c r="HP61" s="704">
        <v>3115.8368131013258</v>
      </c>
      <c r="HQ61" s="776">
        <f t="shared" si="11"/>
        <v>3.101617578732875</v>
      </c>
      <c r="HR61" s="1138">
        <v>985.39370143561098</v>
      </c>
      <c r="HS61" s="1138">
        <v>2796.6649470154598</v>
      </c>
      <c r="HT61" s="784">
        <f t="shared" si="12"/>
        <v>2.8381193658342085</v>
      </c>
      <c r="HV61" s="565" t="s">
        <v>583</v>
      </c>
      <c r="HW61" s="172">
        <v>13.469538999999999</v>
      </c>
      <c r="HX61" s="337">
        <v>67.347696999999997</v>
      </c>
      <c r="HY61" s="787">
        <v>0</v>
      </c>
      <c r="HZ61" s="704">
        <v>955.89575600000001</v>
      </c>
      <c r="IA61" s="704">
        <v>2811.5227</v>
      </c>
      <c r="IB61" s="787">
        <f t="shared" si="14"/>
        <v>2.941244045025345</v>
      </c>
      <c r="IC61" s="703">
        <v>13.083166021752801</v>
      </c>
      <c r="ID61" s="704">
        <v>55.63347071775042</v>
      </c>
      <c r="IE61" s="787">
        <f t="shared" si="15"/>
        <v>4.2522941790428339</v>
      </c>
      <c r="IF61" s="704">
        <v>950.42694033389137</v>
      </c>
      <c r="IG61" s="704">
        <v>3009.0925965764618</v>
      </c>
      <c r="IH61" s="787">
        <f t="shared" si="16"/>
        <v>3.1660430369527903</v>
      </c>
      <c r="II61" s="1137">
        <v>0</v>
      </c>
      <c r="IJ61" s="1138">
        <v>0</v>
      </c>
      <c r="IK61" s="1170"/>
      <c r="IL61" s="1138">
        <v>977.50724893606196</v>
      </c>
      <c r="IM61" s="1138">
        <v>2784.72059866278</v>
      </c>
      <c r="IN61" s="1171">
        <f t="shared" si="18"/>
        <v>2.848797900674112</v>
      </c>
      <c r="IP61" s="565" t="s">
        <v>583</v>
      </c>
      <c r="IQ61" s="172">
        <v>263.71814699999999</v>
      </c>
      <c r="IR61" s="704">
        <v>87.252861999999993</v>
      </c>
      <c r="IS61" s="704">
        <v>227.477847</v>
      </c>
      <c r="IT61" s="704">
        <v>271.14991400000002</v>
      </c>
      <c r="IU61" s="704">
        <v>132.57843399999999</v>
      </c>
      <c r="IV61" s="704">
        <v>2908.7737010000001</v>
      </c>
      <c r="IW61" s="703">
        <v>310.63087353297254</v>
      </c>
      <c r="IX61" s="704">
        <v>80.457050940773513</v>
      </c>
      <c r="IY61" s="704">
        <v>133.06453798217933</v>
      </c>
      <c r="IZ61" s="704">
        <v>281.24273908684887</v>
      </c>
      <c r="JA61" s="704">
        <v>199.1892560853839</v>
      </c>
      <c r="JB61" s="173">
        <v>3115.8368131013258</v>
      </c>
      <c r="JC61" s="1137">
        <v>310.36898964051699</v>
      </c>
      <c r="JD61" s="1138">
        <v>52.394607622543099</v>
      </c>
      <c r="JE61" s="1138">
        <v>243.68247142821099</v>
      </c>
      <c r="JF61" s="1138">
        <v>286.36012545770001</v>
      </c>
      <c r="JG61" s="1138">
        <v>92.587507286639806</v>
      </c>
      <c r="JH61" s="1139">
        <v>2796.6649470154598</v>
      </c>
      <c r="JJ61" s="565" t="s">
        <v>583</v>
      </c>
      <c r="JK61" s="172">
        <v>217.46010899999999</v>
      </c>
      <c r="JL61" s="337">
        <v>402.94943100000006</v>
      </c>
      <c r="JM61" s="337">
        <v>349.02047099999999</v>
      </c>
      <c r="JN61" s="173">
        <v>12.747192</v>
      </c>
      <c r="JO61" s="703">
        <v>14.877754937127582</v>
      </c>
      <c r="JP61" s="704">
        <v>254.67049692319586</v>
      </c>
      <c r="JQ61" s="704">
        <v>726.5622957254219</v>
      </c>
      <c r="JR61" s="173">
        <v>8.4739100424128413</v>
      </c>
      <c r="JS61" s="1137">
        <v>39.153416443547499</v>
      </c>
      <c r="JT61" s="1138">
        <v>319.74050498388397</v>
      </c>
      <c r="JU61" s="1138">
        <v>621.54783504723798</v>
      </c>
      <c r="JV61" s="1139">
        <v>4.9519449609414199</v>
      </c>
      <c r="JX61" s="565" t="s">
        <v>583</v>
      </c>
      <c r="JY61" s="703">
        <v>299.29629410795798</v>
      </c>
      <c r="JZ61" s="704">
        <v>218.598589531702</v>
      </c>
      <c r="KA61" s="704">
        <v>158.631448800687</v>
      </c>
      <c r="KB61" s="173">
        <v>308.86736899526301</v>
      </c>
      <c r="KC61" s="603"/>
      <c r="KD61" s="565" t="s">
        <v>583</v>
      </c>
      <c r="KE61" s="703">
        <v>0</v>
      </c>
      <c r="KF61" s="704">
        <v>4.9519449609414199</v>
      </c>
      <c r="KG61" s="704">
        <v>618.25438465086597</v>
      </c>
      <c r="KH61" s="704">
        <v>198.491917639294</v>
      </c>
      <c r="KI61" s="704">
        <v>148.15188839213101</v>
      </c>
      <c r="KJ61" s="173">
        <v>7.6571132928301697</v>
      </c>
      <c r="KK61" s="703">
        <v>0</v>
      </c>
      <c r="KL61" s="704">
        <v>0</v>
      </c>
      <c r="KM61" s="704">
        <v>0</v>
      </c>
      <c r="KN61" s="704">
        <v>0</v>
      </c>
      <c r="KO61" s="704">
        <v>0</v>
      </c>
      <c r="KP61" s="173">
        <v>0</v>
      </c>
      <c r="KQ61" s="703">
        <v>0</v>
      </c>
      <c r="KR61" s="704">
        <v>4.9519449609414199</v>
      </c>
      <c r="KS61" s="704">
        <v>622.31228050399898</v>
      </c>
      <c r="KT61" s="704">
        <v>202.320474285709</v>
      </c>
      <c r="KU61" s="704">
        <v>148.15188839213101</v>
      </c>
      <c r="KV61" s="173">
        <v>7.6571132928301697</v>
      </c>
      <c r="KW61" s="429"/>
      <c r="KX61" s="565" t="s">
        <v>583</v>
      </c>
      <c r="KY61" s="172">
        <f t="shared" si="35"/>
        <v>289.31641100000002</v>
      </c>
      <c r="KZ61" s="337">
        <v>495.38608199999999</v>
      </c>
      <c r="LA61" s="173">
        <v>194.47471400000001</v>
      </c>
      <c r="LB61" s="172">
        <f t="shared" si="36"/>
        <v>351.97898380746972</v>
      </c>
      <c r="LC61" s="704">
        <v>527.41531702967916</v>
      </c>
      <c r="LD61" s="173">
        <v>125.19015679100919</v>
      </c>
      <c r="LE61" s="172">
        <f t="shared" si="37"/>
        <v>319.98510226158601</v>
      </c>
      <c r="LF61" s="1138">
        <v>539.98633796070897</v>
      </c>
      <c r="LG61" s="1139">
        <v>125.42226121331601</v>
      </c>
      <c r="LH61" s="426"/>
      <c r="LI61" s="565" t="s">
        <v>583</v>
      </c>
      <c r="LJ61" s="172">
        <v>800.25768000000005</v>
      </c>
      <c r="LK61" s="337">
        <v>668.79748400000005</v>
      </c>
      <c r="LL61" s="337">
        <v>131.460196</v>
      </c>
      <c r="LM61" s="337">
        <v>226.76627999999999</v>
      </c>
      <c r="LN61" s="337">
        <v>66.898122000000001</v>
      </c>
      <c r="LO61" s="173">
        <v>67.153728999999998</v>
      </c>
      <c r="LP61" s="703">
        <v>932.70471534855119</v>
      </c>
      <c r="LQ61" s="704">
        <v>665.01622525547145</v>
      </c>
      <c r="LR61" s="704">
        <v>267.68849009307968</v>
      </c>
      <c r="LS61" s="704">
        <v>255.37143584112647</v>
      </c>
      <c r="LT61" s="704">
        <v>28.547165898507149</v>
      </c>
      <c r="LU61" s="173">
        <v>107.76787353368259</v>
      </c>
      <c r="LV61" s="1137">
        <v>766.39554242219504</v>
      </c>
      <c r="LW61" s="1138">
        <v>622.96021307163699</v>
      </c>
      <c r="LX61" s="1138">
        <v>143.43532935055799</v>
      </c>
      <c r="LY61" s="1138">
        <v>258.10905931665098</v>
      </c>
      <c r="LZ61" s="1138">
        <v>72.729855006651604</v>
      </c>
      <c r="MA61" s="1139">
        <v>63.975092868307598</v>
      </c>
      <c r="MC61" s="565" t="s">
        <v>583</v>
      </c>
      <c r="MD61" s="172">
        <v>0</v>
      </c>
      <c r="ME61" s="337">
        <v>17.566074</v>
      </c>
      <c r="MF61" s="337">
        <v>43.983505999999998</v>
      </c>
      <c r="MG61" s="337">
        <v>173.972611</v>
      </c>
      <c r="MH61" s="337">
        <v>272.01772299999999</v>
      </c>
      <c r="MI61" s="173">
        <v>166.257564</v>
      </c>
      <c r="MJ61" s="703">
        <v>0</v>
      </c>
      <c r="MK61" s="704">
        <v>31.039202110041678</v>
      </c>
      <c r="ML61" s="704">
        <v>38.084602302649706</v>
      </c>
      <c r="MM61" s="704">
        <v>103.73998410550246</v>
      </c>
      <c r="MN61" s="704">
        <v>321.49529323686522</v>
      </c>
      <c r="MO61" s="173">
        <v>169.6571442819251</v>
      </c>
      <c r="MP61" s="1137">
        <v>0</v>
      </c>
      <c r="MQ61" s="1138">
        <v>11.459449900817001</v>
      </c>
      <c r="MR61" s="1138">
        <v>34.470372690241199</v>
      </c>
      <c r="MS61" s="1138">
        <v>132.73603604667801</v>
      </c>
      <c r="MT61" s="1138">
        <v>227.47056227781499</v>
      </c>
      <c r="MU61" s="1139">
        <v>216.823792156086</v>
      </c>
      <c r="MW61" s="565" t="s">
        <v>583</v>
      </c>
      <c r="MX61" s="172">
        <v>677.32990400000006</v>
      </c>
      <c r="MY61" s="337">
        <v>654.27398400000004</v>
      </c>
      <c r="MZ61" s="337">
        <v>23.055918999999999</v>
      </c>
      <c r="NA61" s="703">
        <v>668.27463820450248</v>
      </c>
      <c r="NB61" s="704">
        <v>632.56614986451882</v>
      </c>
      <c r="NC61" s="173">
        <v>35.708488339983681</v>
      </c>
      <c r="ND61" s="1137">
        <v>630.58449283513005</v>
      </c>
      <c r="NE61" s="1138">
        <v>604.29542808991698</v>
      </c>
      <c r="NF61" s="1139">
        <v>26.289064745213</v>
      </c>
      <c r="NH61" s="565" t="s">
        <v>583</v>
      </c>
      <c r="NI61" s="703">
        <v>504.94486447424532</v>
      </c>
      <c r="NJ61" s="173">
        <v>127.62128539027348</v>
      </c>
      <c r="NK61" s="703">
        <v>16.3327401633051</v>
      </c>
      <c r="NL61" s="704">
        <v>9.7311269018266593</v>
      </c>
      <c r="NM61" s="173">
        <v>9.6446212748519198</v>
      </c>
      <c r="NN61" s="1137">
        <v>454.06192009496698</v>
      </c>
      <c r="NO61" s="1139">
        <v>150.23350799495023</v>
      </c>
      <c r="NP61" s="1137">
        <v>8.7280615305000193</v>
      </c>
      <c r="NQ61" s="1138">
        <v>15.3142265856603</v>
      </c>
      <c r="NR61" s="1139">
        <v>2.2467766290526701</v>
      </c>
      <c r="NS61" s="136"/>
      <c r="NT61" s="565" t="s">
        <v>583</v>
      </c>
      <c r="NU61" s="703">
        <v>67.802335184814822</v>
      </c>
      <c r="NV61" s="704">
        <v>20.37722587629829</v>
      </c>
      <c r="NW61" s="704">
        <v>9.8600262105095293</v>
      </c>
      <c r="NX61" s="173">
        <v>29.581698118650852</v>
      </c>
      <c r="NY61" s="1137">
        <v>76.341584933543004</v>
      </c>
      <c r="NZ61" s="1138">
        <v>34.286462605348603</v>
      </c>
      <c r="OA61" s="1138">
        <v>1.1233883145263399</v>
      </c>
      <c r="OB61" s="1139">
        <v>38.482072141532299</v>
      </c>
      <c r="OC61" s="553"/>
      <c r="OD61" s="565" t="s">
        <v>583</v>
      </c>
      <c r="OE61" s="703">
        <v>23.125208752775102</v>
      </c>
      <c r="OF61" s="704">
        <v>69.349406219897205</v>
      </c>
      <c r="OG61" s="704">
        <v>57.254378775781099</v>
      </c>
      <c r="OH61" s="704">
        <v>62.0659593077445</v>
      </c>
      <c r="OI61" s="704">
        <v>263.34356008829599</v>
      </c>
      <c r="OJ61" s="704">
        <v>19.093532938069799</v>
      </c>
      <c r="OK61" s="173">
        <v>7.6144764897333701</v>
      </c>
      <c r="OL61" s="703">
        <v>62.023322504647702</v>
      </c>
      <c r="OM61" s="704">
        <v>88.672278364685496</v>
      </c>
      <c r="ON61" s="704">
        <v>57.254378775781099</v>
      </c>
      <c r="OO61" s="704">
        <v>62.0659593077445</v>
      </c>
      <c r="OP61" s="704">
        <v>345.78108605005002</v>
      </c>
      <c r="OQ61" s="704">
        <v>83.671092356850494</v>
      </c>
      <c r="OR61" s="173">
        <v>880.24706627394301</v>
      </c>
      <c r="OT61" s="565" t="s">
        <v>583</v>
      </c>
      <c r="OU61" s="172">
        <v>420.132385</v>
      </c>
      <c r="OV61" s="337">
        <v>367.10132900000002</v>
      </c>
      <c r="OW61" s="337">
        <v>207.616288</v>
      </c>
      <c r="OX61" s="173">
        <v>198.142123</v>
      </c>
      <c r="OY61" s="703">
        <v>419.12682053285687</v>
      </c>
      <c r="OZ61" s="704">
        <v>344.71571867758178</v>
      </c>
      <c r="PA61" s="704">
        <v>215.65058798608919</v>
      </c>
      <c r="PB61" s="173">
        <v>193.235215664891</v>
      </c>
      <c r="PC61" s="1137">
        <v>313.72957189844772</v>
      </c>
      <c r="PD61" s="1138">
        <v>338.10279155766898</v>
      </c>
      <c r="PE61" s="1138">
        <v>187.937240798538</v>
      </c>
      <c r="PF61" s="1139">
        <v>179.87807091009009</v>
      </c>
      <c r="PH61" s="565" t="s">
        <v>583</v>
      </c>
      <c r="PI61" s="703">
        <v>135.61072273750341</v>
      </c>
      <c r="PJ61" s="704">
        <v>168.797360638713</v>
      </c>
      <c r="PK61" s="704">
        <v>72.425482998013393</v>
      </c>
      <c r="PL61" s="173">
        <v>85.893038369708393</v>
      </c>
      <c r="PM61" s="703">
        <v>178.11884916094431</v>
      </c>
      <c r="PN61" s="704">
        <v>169.30543091895601</v>
      </c>
      <c r="PO61" s="704">
        <v>115.511757800525</v>
      </c>
      <c r="PP61" s="173">
        <v>93.98503254038161</v>
      </c>
      <c r="PQ61" s="65"/>
      <c r="PR61" s="565" t="s">
        <v>583</v>
      </c>
      <c r="PS61" s="1038">
        <v>7.8700357348801502</v>
      </c>
      <c r="PT61" s="1039">
        <v>24.874778048074699</v>
      </c>
      <c r="PU61" s="1039">
        <v>24.3800670753376</v>
      </c>
      <c r="PV61" s="1039">
        <v>7.6242797634930701</v>
      </c>
      <c r="PW61" s="1039">
        <v>465.04841060991203</v>
      </c>
      <c r="PX61" s="1040">
        <v>100.786921603433</v>
      </c>
      <c r="PZ61" s="565" t="s">
        <v>583</v>
      </c>
      <c r="QA61" s="1038">
        <v>387.34587056388602</v>
      </c>
      <c r="QB61" s="1039">
        <v>243.238622271244</v>
      </c>
      <c r="QC61" s="1039">
        <v>209.08613528206001</v>
      </c>
      <c r="QD61" s="1039">
        <v>22.922089584484901</v>
      </c>
      <c r="QE61" s="1039">
        <v>11.230397404699501</v>
      </c>
      <c r="QF61" s="1040">
        <v>0</v>
      </c>
    </row>
    <row r="62" spans="1:448" ht="13.5" customHeight="1">
      <c r="A62" s="595" t="s">
        <v>527</v>
      </c>
      <c r="B62" s="564" t="s">
        <v>584</v>
      </c>
      <c r="C62" s="1103">
        <v>2169.8625849999999</v>
      </c>
      <c r="D62" s="690">
        <v>2247.9566440504464</v>
      </c>
      <c r="E62" s="691">
        <v>2095.0126957044599</v>
      </c>
      <c r="F62" s="428"/>
      <c r="G62" s="565" t="s">
        <v>584</v>
      </c>
      <c r="H62" s="686">
        <f t="shared" si="5"/>
        <v>7.0966234750540202E-3</v>
      </c>
      <c r="I62" s="668">
        <f t="shared" si="6"/>
        <v>-1.3993573257806369E-2</v>
      </c>
      <c r="J62" s="612"/>
      <c r="K62" s="63"/>
      <c r="L62" s="564" t="s">
        <v>584</v>
      </c>
      <c r="M62" s="636">
        <v>20</v>
      </c>
      <c r="N62" s="637">
        <v>16</v>
      </c>
      <c r="O62" s="637">
        <v>17</v>
      </c>
      <c r="P62" s="637">
        <v>22</v>
      </c>
      <c r="Q62" s="637">
        <v>14</v>
      </c>
      <c r="R62" s="637">
        <v>16</v>
      </c>
      <c r="S62" s="637">
        <v>19</v>
      </c>
      <c r="T62" s="637">
        <v>21</v>
      </c>
      <c r="U62" s="1138">
        <v>8</v>
      </c>
      <c r="V62" s="1138">
        <v>10</v>
      </c>
      <c r="W62" s="1139">
        <v>23</v>
      </c>
      <c r="X62" s="565" t="s">
        <v>584</v>
      </c>
      <c r="Y62" s="666">
        <v>18</v>
      </c>
      <c r="Z62" s="667">
        <v>19.5</v>
      </c>
      <c r="AA62" s="667">
        <v>15</v>
      </c>
      <c r="AB62" s="667">
        <v>20</v>
      </c>
      <c r="AC62" s="667">
        <v>20</v>
      </c>
      <c r="AD62" s="668">
        <v>8.3333333333333329E-2</v>
      </c>
      <c r="AE62" s="668">
        <v>-0.23076923076923078</v>
      </c>
      <c r="AF62" s="668">
        <v>0.33333333333333331</v>
      </c>
      <c r="AG62" s="1213">
        <v>-0.23076923076923078</v>
      </c>
      <c r="AN62" s="565" t="s">
        <v>584</v>
      </c>
      <c r="AO62" s="636">
        <v>0</v>
      </c>
      <c r="AP62" s="637">
        <v>28.707062000000001</v>
      </c>
      <c r="AQ62" s="637">
        <v>155.953768</v>
      </c>
      <c r="AR62" s="637">
        <v>262.83886699999999</v>
      </c>
      <c r="AS62" s="637">
        <v>263.04115899999999</v>
      </c>
      <c r="AT62" s="637">
        <v>150.998088</v>
      </c>
      <c r="AU62" s="637">
        <v>875.71447999999998</v>
      </c>
      <c r="AV62" s="173">
        <v>224.91014999999999</v>
      </c>
      <c r="AW62" s="636">
        <v>0</v>
      </c>
      <c r="AX62" s="637">
        <v>33.520041711419772</v>
      </c>
      <c r="AY62" s="637">
        <v>131.87005140285555</v>
      </c>
      <c r="AZ62" s="637">
        <v>235.95720841600905</v>
      </c>
      <c r="BA62" s="637">
        <v>246.78964077410879</v>
      </c>
      <c r="BB62" s="637">
        <v>180.71348458787853</v>
      </c>
      <c r="BC62" s="637">
        <v>965.98658862555737</v>
      </c>
      <c r="BD62" s="173">
        <v>207.27060312576521</v>
      </c>
      <c r="BE62" s="1137">
        <v>0</v>
      </c>
      <c r="BF62" s="1138">
        <v>45.144166689659102</v>
      </c>
      <c r="BG62" s="1138">
        <v>126.984216364259</v>
      </c>
      <c r="BH62" s="1138">
        <v>252.38196102328001</v>
      </c>
      <c r="BI62" s="1138">
        <v>238.56538680020199</v>
      </c>
      <c r="BJ62" s="1138">
        <v>156.76918510731801</v>
      </c>
      <c r="BK62" s="1138">
        <v>827.083095193536</v>
      </c>
      <c r="BL62" s="1139">
        <v>235.521752044767</v>
      </c>
      <c r="BN62" s="565" t="s">
        <v>584</v>
      </c>
      <c r="BO62" s="647">
        <v>204.69901400000001</v>
      </c>
      <c r="BP62" s="648">
        <v>375.90553199999999</v>
      </c>
      <c r="BQ62" s="648">
        <v>269.38640900000001</v>
      </c>
      <c r="BR62" s="648">
        <v>404.76534800000002</v>
      </c>
      <c r="BS62" s="648">
        <v>524.55827999999997</v>
      </c>
      <c r="BT62" s="173">
        <v>390.548001</v>
      </c>
      <c r="BU62" s="647">
        <v>245.84902540685169</v>
      </c>
      <c r="BV62" s="648">
        <v>226.1581920361136</v>
      </c>
      <c r="BW62" s="648">
        <v>314.01690504237246</v>
      </c>
      <c r="BX62" s="648">
        <v>413.90089069050441</v>
      </c>
      <c r="BY62" s="648">
        <v>555.24579384734079</v>
      </c>
      <c r="BZ62" s="173">
        <v>492.7858370272632</v>
      </c>
      <c r="CA62" s="1137">
        <v>209.562929435287</v>
      </c>
      <c r="CB62" s="1138">
        <v>265.74941309727598</v>
      </c>
      <c r="CC62" s="1138">
        <v>308.46057011496498</v>
      </c>
      <c r="CD62" s="1138">
        <v>336.85695552227298</v>
      </c>
      <c r="CE62" s="1138">
        <v>533.77259340897604</v>
      </c>
      <c r="CF62" s="1139">
        <v>440.61023412568602</v>
      </c>
      <c r="CG62" s="429"/>
      <c r="CH62" s="565" t="s">
        <v>584</v>
      </c>
      <c r="CI62" s="172">
        <v>269.261124</v>
      </c>
      <c r="CJ62" s="337">
        <v>1183.600367</v>
      </c>
      <c r="CK62" s="337">
        <v>717.00109499999996</v>
      </c>
      <c r="CL62" s="647">
        <v>308.02455915468585</v>
      </c>
      <c r="CM62" s="648">
        <v>1108.152506706756</v>
      </c>
      <c r="CN62" s="648">
        <v>831.77957818900438</v>
      </c>
      <c r="CO62" s="1137">
        <v>255.77772891263501</v>
      </c>
      <c r="CP62" s="1138">
        <v>1029.0348037138499</v>
      </c>
      <c r="CQ62" s="1139">
        <v>810.20016307798096</v>
      </c>
      <c r="CR62" s="429"/>
      <c r="DB62" s="426"/>
      <c r="DC62" s="426"/>
      <c r="DD62" s="426"/>
      <c r="DE62" s="426"/>
      <c r="DG62" s="565" t="s">
        <v>584</v>
      </c>
      <c r="DH62" s="1147" t="s">
        <v>773</v>
      </c>
      <c r="DI62" s="1150" t="s">
        <v>995</v>
      </c>
      <c r="DJ62" s="704" t="s">
        <v>996</v>
      </c>
      <c r="DK62" s="704" t="s">
        <v>997</v>
      </c>
      <c r="DL62" s="337" t="s">
        <v>998</v>
      </c>
      <c r="DM62" s="174" t="s">
        <v>830</v>
      </c>
      <c r="DO62" s="564" t="s">
        <v>584</v>
      </c>
      <c r="DP62" s="704">
        <v>1266.4903220000001</v>
      </c>
      <c r="DQ62" s="337">
        <v>1256.0242673172754</v>
      </c>
      <c r="DR62" s="1139">
        <v>1209.03336883721</v>
      </c>
      <c r="DS62" s="63"/>
      <c r="DT62" s="565" t="s">
        <v>584</v>
      </c>
      <c r="DU62" s="703">
        <v>2066.8627110000002</v>
      </c>
      <c r="DV62" s="704">
        <v>2147.9567222017195</v>
      </c>
      <c r="DW62" s="1139">
        <v>1997.0125961967301</v>
      </c>
      <c r="DX62" s="63"/>
      <c r="DY62" s="565" t="s">
        <v>584</v>
      </c>
      <c r="DZ62" s="1089">
        <f t="shared" si="32"/>
        <v>1.6319609199508751</v>
      </c>
      <c r="EA62" s="787">
        <f t="shared" si="33"/>
        <v>1.710123584466652</v>
      </c>
      <c r="EB62" s="776">
        <f t="shared" si="34"/>
        <v>1.6517431591796019</v>
      </c>
      <c r="ED62" s="541"/>
      <c r="EE62" s="565" t="s">
        <v>584</v>
      </c>
      <c r="EF62" s="732">
        <v>724.08397200000002</v>
      </c>
      <c r="EG62" s="732">
        <v>15.951732</v>
      </c>
      <c r="EH62" s="732">
        <v>315.75382300000001</v>
      </c>
      <c r="EI62" s="732">
        <v>134.28800799999999</v>
      </c>
      <c r="EJ62" s="732">
        <v>76.412786999999994</v>
      </c>
      <c r="EK62" s="703">
        <v>660.27300654825331</v>
      </c>
      <c r="EL62" s="704">
        <v>32.235782625680621</v>
      </c>
      <c r="EM62" s="704">
        <v>341.1262264246717</v>
      </c>
      <c r="EN62" s="704">
        <v>151.60391274146687</v>
      </c>
      <c r="EO62" s="704">
        <v>70.785338977202983</v>
      </c>
      <c r="EP62" s="1137">
        <v>654.24919807786296</v>
      </c>
      <c r="EQ62" s="1138">
        <v>34.043790902762098</v>
      </c>
      <c r="ER62" s="1138">
        <v>337.94126408654199</v>
      </c>
      <c r="ES62" s="1138">
        <v>96.853054051335405</v>
      </c>
      <c r="ET62" s="1139">
        <v>85.946061718709203</v>
      </c>
      <c r="EV62" s="565" t="s">
        <v>584</v>
      </c>
      <c r="EW62" s="703">
        <v>56.828229999999998</v>
      </c>
      <c r="EX62" s="704">
        <v>178.32504900000001</v>
      </c>
      <c r="EY62" s="704">
        <v>393.91547000000003</v>
      </c>
      <c r="EZ62" s="704">
        <v>95.015224000000003</v>
      </c>
      <c r="FA62" s="703">
        <v>225.01558499999999</v>
      </c>
      <c r="FB62" s="704">
        <v>653.70371899999998</v>
      </c>
      <c r="FC62" s="704">
        <v>830.45114999999998</v>
      </c>
      <c r="FD62" s="704">
        <v>152.99324300000001</v>
      </c>
      <c r="FE62" s="703">
        <v>10.827572444288471</v>
      </c>
      <c r="FF62" s="704">
        <v>188.47767830312861</v>
      </c>
      <c r="FG62" s="704">
        <v>331.75218399022305</v>
      </c>
      <c r="FH62" s="173">
        <v>129.2155718106132</v>
      </c>
      <c r="FI62" s="703">
        <v>143.42944729284665</v>
      </c>
      <c r="FJ62" s="704">
        <v>671.35791779386693</v>
      </c>
      <c r="FK62" s="746">
        <v>820.92708272098855</v>
      </c>
      <c r="FL62" s="747">
        <v>266.39324898716541</v>
      </c>
      <c r="FM62" s="1137">
        <v>35.564085112479297</v>
      </c>
      <c r="FN62" s="1138">
        <v>194.706277661831</v>
      </c>
      <c r="FO62" s="1138">
        <v>289.529491060944</v>
      </c>
      <c r="FP62" s="1139">
        <v>134.44934424260799</v>
      </c>
      <c r="FQ62" s="1137">
        <v>152.12711112397201</v>
      </c>
      <c r="FR62" s="1138">
        <v>599.41702633842101</v>
      </c>
      <c r="FS62" s="1138">
        <v>791.89645181910203</v>
      </c>
      <c r="FT62" s="1139">
        <v>244.00907747994799</v>
      </c>
      <c r="FV62" s="564" t="s">
        <v>584</v>
      </c>
      <c r="FW62" s="337">
        <v>339.23571900000002</v>
      </c>
      <c r="FX62" s="337">
        <v>106.63824700000001</v>
      </c>
      <c r="FY62" s="337">
        <v>69.486789000000002</v>
      </c>
      <c r="FZ62" s="173">
        <v>14.397755</v>
      </c>
      <c r="GA62" s="703">
        <v>362.60538017051317</v>
      </c>
      <c r="GB62" s="704">
        <v>98.691784375220166</v>
      </c>
      <c r="GC62" s="704">
        <v>77.639972613712686</v>
      </c>
      <c r="GD62" s="173">
        <v>24.57834098389549</v>
      </c>
      <c r="GE62" s="1137">
        <v>357.95453354908199</v>
      </c>
      <c r="GF62" s="1138">
        <v>78.502352921872401</v>
      </c>
      <c r="GG62" s="1138">
        <v>63.439440983284598</v>
      </c>
      <c r="GH62" s="1139">
        <v>23.997539806033899</v>
      </c>
      <c r="GJ62" s="565" t="s">
        <v>584</v>
      </c>
      <c r="GK62" s="703">
        <v>1357.4984549999999</v>
      </c>
      <c r="GL62" s="704">
        <v>1362.9990184002772</v>
      </c>
      <c r="GM62" s="1139">
        <v>1371.0012276331199</v>
      </c>
      <c r="GO62" s="565" t="s">
        <v>584</v>
      </c>
      <c r="GP62" s="703">
        <v>1266.4903220000001</v>
      </c>
      <c r="GQ62" s="704">
        <v>20.720061999999999</v>
      </c>
      <c r="GR62" s="173">
        <v>70.288071000000002</v>
      </c>
      <c r="GS62" s="703">
        <v>1256.0242673172754</v>
      </c>
      <c r="GT62" s="704">
        <v>16.293788479245428</v>
      </c>
      <c r="GU62" s="173">
        <v>90.680962603756299</v>
      </c>
      <c r="GV62" s="1137">
        <v>1209.03336883721</v>
      </c>
      <c r="GW62" s="1138">
        <v>26.803597574948199</v>
      </c>
      <c r="GX62" s="1139">
        <v>135.16426122096399</v>
      </c>
      <c r="GZ62" s="565" t="s">
        <v>584</v>
      </c>
      <c r="HA62" s="172">
        <v>0</v>
      </c>
      <c r="HB62" s="337">
        <v>1357.4984549999999</v>
      </c>
      <c r="HC62" s="173">
        <f t="shared" si="7"/>
        <v>0</v>
      </c>
      <c r="HD62" s="703">
        <v>0</v>
      </c>
      <c r="HE62" s="704">
        <v>1362.9990184002772</v>
      </c>
      <c r="HF62" s="173">
        <f t="shared" si="8"/>
        <v>0</v>
      </c>
      <c r="HG62" s="583">
        <v>3.1534874036866398</v>
      </c>
      <c r="HH62" s="1138">
        <v>1367.84774022944</v>
      </c>
      <c r="HI62" s="173">
        <f t="shared" si="9"/>
        <v>-6.5938365878537297E-12</v>
      </c>
      <c r="HK62" s="565" t="s">
        <v>584</v>
      </c>
      <c r="HL62" s="704">
        <v>1266.4903220000001</v>
      </c>
      <c r="HM62" s="704">
        <v>4434.576505</v>
      </c>
      <c r="HN62" s="776">
        <f t="shared" si="10"/>
        <v>3.5014689239765069</v>
      </c>
      <c r="HO62" s="703">
        <v>1256.0242673172754</v>
      </c>
      <c r="HP62" s="704">
        <v>4591.2617845082432</v>
      </c>
      <c r="HQ62" s="776">
        <f t="shared" si="11"/>
        <v>3.655392577975149</v>
      </c>
      <c r="HR62" s="1138">
        <v>1209.03336883721</v>
      </c>
      <c r="HS62" s="1138">
        <v>4165.7272059532597</v>
      </c>
      <c r="HT62" s="784">
        <f t="shared" si="12"/>
        <v>3.4455022610001702</v>
      </c>
      <c r="HV62" s="565" t="s">
        <v>584</v>
      </c>
      <c r="HW62" s="172">
        <v>0</v>
      </c>
      <c r="HX62" s="337">
        <v>0</v>
      </c>
      <c r="HY62" s="787">
        <v>0</v>
      </c>
      <c r="HZ62" s="704">
        <v>1266.4903220000001</v>
      </c>
      <c r="IA62" s="704">
        <v>4434.576505</v>
      </c>
      <c r="IB62" s="787">
        <f t="shared" si="14"/>
        <v>3.5014689239765069</v>
      </c>
      <c r="IC62" s="703">
        <v>0</v>
      </c>
      <c r="ID62" s="704">
        <v>0</v>
      </c>
      <c r="IE62" s="787">
        <v>0</v>
      </c>
      <c r="IF62" s="704">
        <v>1256.0242673172754</v>
      </c>
      <c r="IG62" s="704">
        <v>4591.2617845082432</v>
      </c>
      <c r="IH62" s="787">
        <f t="shared" si="16"/>
        <v>3.655392577975149</v>
      </c>
      <c r="II62" s="1137">
        <v>3.1534874036866398</v>
      </c>
      <c r="IJ62" s="1138">
        <v>9.4604622110599106</v>
      </c>
      <c r="IK62" s="1170">
        <f t="shared" si="17"/>
        <v>2.9999999999999973</v>
      </c>
      <c r="IL62" s="1138">
        <v>1205.87988143352</v>
      </c>
      <c r="IM62" s="1138">
        <v>4156.2667437421997</v>
      </c>
      <c r="IN62" s="1171">
        <f t="shared" si="18"/>
        <v>3.4466672906105149</v>
      </c>
      <c r="IP62" s="565" t="s">
        <v>584</v>
      </c>
      <c r="IQ62" s="172">
        <v>80.724351999999996</v>
      </c>
      <c r="IR62" s="704">
        <v>170.23545799999999</v>
      </c>
      <c r="IS62" s="704">
        <v>338.09321199999999</v>
      </c>
      <c r="IT62" s="704">
        <v>440.88892199999998</v>
      </c>
      <c r="IU62" s="704">
        <v>236.54837800000001</v>
      </c>
      <c r="IV62" s="704">
        <v>4434.576505</v>
      </c>
      <c r="IW62" s="703">
        <v>19.582692699833519</v>
      </c>
      <c r="IX62" s="704">
        <v>195.05887252987984</v>
      </c>
      <c r="IY62" s="704">
        <v>297.54215646718507</v>
      </c>
      <c r="IZ62" s="704">
        <v>494.73779858474489</v>
      </c>
      <c r="JA62" s="704">
        <v>249.10274703563215</v>
      </c>
      <c r="JB62" s="173">
        <v>4591.2617845082432</v>
      </c>
      <c r="JC62" s="1137">
        <v>49.120076430042602</v>
      </c>
      <c r="JD62" s="1138">
        <v>200.267139363545</v>
      </c>
      <c r="JE62" s="1138">
        <v>378.46973565946399</v>
      </c>
      <c r="JF62" s="1138">
        <v>392.73442429396903</v>
      </c>
      <c r="JG62" s="1138">
        <v>188.44199309019001</v>
      </c>
      <c r="JH62" s="1139">
        <v>4165.7272059532597</v>
      </c>
      <c r="JJ62" s="565" t="s">
        <v>584</v>
      </c>
      <c r="JK62" s="172">
        <v>731.56900099999996</v>
      </c>
      <c r="JL62" s="337">
        <v>237.85068900000005</v>
      </c>
      <c r="JM62" s="337">
        <v>277.804191</v>
      </c>
      <c r="JN62" s="173">
        <v>19.266441</v>
      </c>
      <c r="JO62" s="703">
        <v>784.14608787972804</v>
      </c>
      <c r="JP62" s="704">
        <v>214.51943064286917</v>
      </c>
      <c r="JQ62" s="704">
        <v>210.96826622410936</v>
      </c>
      <c r="JR62" s="173">
        <v>46.390482570568871</v>
      </c>
      <c r="JS62" s="1137">
        <v>728.98576065563202</v>
      </c>
      <c r="JT62" s="1138">
        <v>196.44601967929898</v>
      </c>
      <c r="JU62" s="1138">
        <v>245.22508577063601</v>
      </c>
      <c r="JV62" s="1139">
        <v>38.376502731644202</v>
      </c>
      <c r="JX62" s="565" t="s">
        <v>584</v>
      </c>
      <c r="JY62" s="703">
        <v>109.52958938166501</v>
      </c>
      <c r="JZ62" s="704">
        <v>250.61289026632701</v>
      </c>
      <c r="KA62" s="704">
        <v>170.00138744981899</v>
      </c>
      <c r="KB62" s="173">
        <v>678.88950173939998</v>
      </c>
      <c r="KC62" s="603"/>
      <c r="KD62" s="565" t="s">
        <v>584</v>
      </c>
      <c r="KE62" s="703">
        <v>0</v>
      </c>
      <c r="KF62" s="704">
        <v>3.1534874036866398</v>
      </c>
      <c r="KG62" s="704">
        <v>190.64671424972201</v>
      </c>
      <c r="KH62" s="704">
        <v>987.97310464737404</v>
      </c>
      <c r="KI62" s="704">
        <v>17.777854601769398</v>
      </c>
      <c r="KJ62" s="173">
        <v>6.32872053097228</v>
      </c>
      <c r="KK62" s="703">
        <v>0</v>
      </c>
      <c r="KL62" s="704">
        <v>0</v>
      </c>
      <c r="KM62" s="704">
        <v>0</v>
      </c>
      <c r="KN62" s="704">
        <v>3.1534874036866398</v>
      </c>
      <c r="KO62" s="704">
        <v>0</v>
      </c>
      <c r="KP62" s="173">
        <v>0</v>
      </c>
      <c r="KQ62" s="703">
        <v>0</v>
      </c>
      <c r="KR62" s="704">
        <v>3.1534874036866398</v>
      </c>
      <c r="KS62" s="704">
        <v>190.64671424972201</v>
      </c>
      <c r="KT62" s="704">
        <v>991.12659205106104</v>
      </c>
      <c r="KU62" s="704">
        <v>17.777854601769398</v>
      </c>
      <c r="KV62" s="173">
        <v>6.32872053097228</v>
      </c>
      <c r="KW62" s="429"/>
      <c r="KX62" s="565" t="s">
        <v>584</v>
      </c>
      <c r="KY62" s="172">
        <f t="shared" si="35"/>
        <v>266.21341500000005</v>
      </c>
      <c r="KZ62" s="337">
        <v>801.96801000000005</v>
      </c>
      <c r="LA62" s="173">
        <v>198.308897</v>
      </c>
      <c r="LB62" s="172">
        <f t="shared" si="36"/>
        <v>220.11234736778829</v>
      </c>
      <c r="LC62" s="704">
        <v>821.97100550683888</v>
      </c>
      <c r="LD62" s="173">
        <v>213.94091444264836</v>
      </c>
      <c r="LE62" s="172">
        <f t="shared" si="37"/>
        <v>187.54646531877802</v>
      </c>
      <c r="LF62" s="1138">
        <v>821.28234710917002</v>
      </c>
      <c r="LG62" s="1139">
        <v>200.20455640926201</v>
      </c>
      <c r="LH62" s="426"/>
      <c r="LI62" s="565" t="s">
        <v>584</v>
      </c>
      <c r="LJ62" s="172">
        <v>871.96469500000001</v>
      </c>
      <c r="LK62" s="337">
        <v>787.21081700000002</v>
      </c>
      <c r="LL62" s="337">
        <v>84.753878</v>
      </c>
      <c r="LM62" s="337">
        <v>115.836229</v>
      </c>
      <c r="LN62" s="337">
        <v>187.44644299999999</v>
      </c>
      <c r="LO62" s="173">
        <v>72.915109999999999</v>
      </c>
      <c r="LP62" s="703">
        <v>825.81409023323943</v>
      </c>
      <c r="LQ62" s="704">
        <v>686.32866712278019</v>
      </c>
      <c r="LR62" s="704">
        <v>139.48542311045924</v>
      </c>
      <c r="LS62" s="704">
        <v>76.586632380930808</v>
      </c>
      <c r="LT62" s="704">
        <v>192.24651278197564</v>
      </c>
      <c r="LU62" s="173">
        <v>75.680805058444179</v>
      </c>
      <c r="LV62" s="1137">
        <v>829.82004384874006</v>
      </c>
      <c r="LW62" s="1138">
        <v>694.71678147442901</v>
      </c>
      <c r="LX62" s="1138">
        <v>135.10326237431099</v>
      </c>
      <c r="LY62" s="1138">
        <v>64.421521017606693</v>
      </c>
      <c r="LZ62" s="1138">
        <v>102.78352177393501</v>
      </c>
      <c r="MA62" s="1139">
        <v>78.224516550913293</v>
      </c>
      <c r="MC62" s="565" t="s">
        <v>584</v>
      </c>
      <c r="MD62" s="172">
        <v>0</v>
      </c>
      <c r="ME62" s="337">
        <v>28.707062000000001</v>
      </c>
      <c r="MF62" s="337">
        <v>147.93766600000001</v>
      </c>
      <c r="MG62" s="337">
        <v>241.747038</v>
      </c>
      <c r="MH62" s="337">
        <v>237.86412100000001</v>
      </c>
      <c r="MI62" s="173">
        <v>130.95492899999999</v>
      </c>
      <c r="MJ62" s="703">
        <v>0</v>
      </c>
      <c r="MK62" s="704">
        <v>30.22333154705176</v>
      </c>
      <c r="ML62" s="704">
        <v>131.87005140285555</v>
      </c>
      <c r="MM62" s="704">
        <v>206.15438832716785</v>
      </c>
      <c r="MN62" s="704">
        <v>187.84099460947641</v>
      </c>
      <c r="MO62" s="173">
        <v>130.23990123622866</v>
      </c>
      <c r="MP62" s="1137">
        <v>0</v>
      </c>
      <c r="MQ62" s="1138">
        <v>41.990679285972398</v>
      </c>
      <c r="MR62" s="1138">
        <v>120.52471478298</v>
      </c>
      <c r="MS62" s="1138">
        <v>227.77433556570901</v>
      </c>
      <c r="MT62" s="1138">
        <v>200.92018344500801</v>
      </c>
      <c r="MU62" s="1139">
        <v>103.50686839476001</v>
      </c>
      <c r="MW62" s="565" t="s">
        <v>584</v>
      </c>
      <c r="MX62" s="172">
        <v>787.21081700000002</v>
      </c>
      <c r="MY62" s="337">
        <v>737.23313099999996</v>
      </c>
      <c r="MZ62" s="337">
        <v>49.977685999999999</v>
      </c>
      <c r="NA62" s="703">
        <v>699.07134992220426</v>
      </c>
      <c r="NB62" s="704">
        <v>644.98595001629008</v>
      </c>
      <c r="NC62" s="173">
        <v>54.085399905914251</v>
      </c>
      <c r="ND62" s="1137">
        <v>701.03188667726795</v>
      </c>
      <c r="NE62" s="1138">
        <v>651.44007768101699</v>
      </c>
      <c r="NF62" s="1139">
        <v>49.591808996250499</v>
      </c>
      <c r="NH62" s="565" t="s">
        <v>584</v>
      </c>
      <c r="NI62" s="703">
        <v>561.02579282410954</v>
      </c>
      <c r="NJ62" s="173">
        <v>83.960157192180546</v>
      </c>
      <c r="NK62" s="703">
        <v>36.892647170886399</v>
      </c>
      <c r="NL62" s="704">
        <v>17.192752735027849</v>
      </c>
      <c r="NM62" s="173">
        <v>0</v>
      </c>
      <c r="NN62" s="1137">
        <v>564.36362262102796</v>
      </c>
      <c r="NO62" s="1139">
        <v>87.076455059989641</v>
      </c>
      <c r="NP62" s="1137">
        <v>33.655584412980502</v>
      </c>
      <c r="NQ62" s="1138">
        <v>15.93622458327</v>
      </c>
      <c r="NR62" s="1139">
        <v>0</v>
      </c>
      <c r="NS62" s="136"/>
      <c r="NT62" s="565" t="s">
        <v>584</v>
      </c>
      <c r="NU62" s="703">
        <v>57.797782737212799</v>
      </c>
      <c r="NV62" s="704">
        <v>13.131795642943841</v>
      </c>
      <c r="NW62" s="704">
        <v>0</v>
      </c>
      <c r="NX62" s="173">
        <v>13.03057881202391</v>
      </c>
      <c r="NY62" s="1137">
        <v>50.349324247710904</v>
      </c>
      <c r="NZ62" s="1138">
        <v>19.574501520854898</v>
      </c>
      <c r="OA62" s="1138">
        <v>3.1534874036866398</v>
      </c>
      <c r="OB62" s="1139">
        <v>13.999141887737199</v>
      </c>
      <c r="OC62" s="553"/>
      <c r="OD62" s="565" t="s">
        <v>584</v>
      </c>
      <c r="OE62" s="703">
        <v>35.906002598612297</v>
      </c>
      <c r="OF62" s="704">
        <v>81.687240082600297</v>
      </c>
      <c r="OG62" s="704">
        <v>42.241939927647799</v>
      </c>
      <c r="OH62" s="704">
        <v>30.120298905560698</v>
      </c>
      <c r="OI62" s="704">
        <v>40.971745239289703</v>
      </c>
      <c r="OJ62" s="704">
        <v>13.2853328512524</v>
      </c>
      <c r="OK62" s="173">
        <v>18.9303823910601</v>
      </c>
      <c r="OL62" s="703">
        <v>49.796109159641802</v>
      </c>
      <c r="OM62" s="704">
        <v>84.862473209886005</v>
      </c>
      <c r="ON62" s="704">
        <v>42.241939927647799</v>
      </c>
      <c r="OO62" s="704">
        <v>30.120298905560698</v>
      </c>
      <c r="OP62" s="704">
        <v>122.006812218411</v>
      </c>
      <c r="OQ62" s="704">
        <v>113.622301973304</v>
      </c>
      <c r="OR62" s="173">
        <v>1619.7003531718999</v>
      </c>
      <c r="OT62" s="565" t="s">
        <v>584</v>
      </c>
      <c r="OU62" s="172">
        <v>670.010041</v>
      </c>
      <c r="OV62" s="337">
        <v>389.24427700000001</v>
      </c>
      <c r="OW62" s="337">
        <v>314.02331900000001</v>
      </c>
      <c r="OX62" s="173">
        <v>405.59769700000004</v>
      </c>
      <c r="OY62" s="703">
        <v>548.11576428702188</v>
      </c>
      <c r="OZ62" s="704">
        <v>389.51585834866211</v>
      </c>
      <c r="PA62" s="704">
        <v>307.49295697181105</v>
      </c>
      <c r="PB62" s="173">
        <v>665.40837641898361</v>
      </c>
      <c r="PC62" s="1137">
        <v>475.73158803141996</v>
      </c>
      <c r="PD62" s="1138">
        <v>432.30164121637603</v>
      </c>
      <c r="PE62" s="1138">
        <v>306.75686254492501</v>
      </c>
      <c r="PF62" s="1139">
        <v>567.35191508929199</v>
      </c>
      <c r="PH62" s="565" t="s">
        <v>584</v>
      </c>
      <c r="PI62" s="703">
        <v>151.09572188281169</v>
      </c>
      <c r="PJ62" s="704">
        <v>217.295555046087</v>
      </c>
      <c r="PK62" s="704">
        <v>145.37879389444501</v>
      </c>
      <c r="PL62" s="173">
        <v>243.04825429171279</v>
      </c>
      <c r="PM62" s="703">
        <v>324.63586614860776</v>
      </c>
      <c r="PN62" s="704">
        <v>215.006086170288</v>
      </c>
      <c r="PO62" s="704">
        <v>161.37806865048</v>
      </c>
      <c r="PP62" s="173">
        <v>324.30366079757943</v>
      </c>
      <c r="PQ62" s="65"/>
      <c r="PR62" s="565" t="s">
        <v>584</v>
      </c>
      <c r="PS62" s="1038">
        <v>39.771452437352501</v>
      </c>
      <c r="PT62" s="1039">
        <v>17.888848479404199</v>
      </c>
      <c r="PU62" s="1039">
        <v>41.6615784204321</v>
      </c>
      <c r="PV62" s="1039">
        <v>7.2685387974870004</v>
      </c>
      <c r="PW62" s="1039">
        <v>460.42685713271601</v>
      </c>
      <c r="PX62" s="1040">
        <v>134.01461140987601</v>
      </c>
      <c r="PZ62" s="565" t="s">
        <v>584</v>
      </c>
      <c r="QA62" s="1038">
        <v>412.88090499142697</v>
      </c>
      <c r="QB62" s="1039">
        <v>288.15098168584097</v>
      </c>
      <c r="QC62" s="1039">
        <v>251.47164230992499</v>
      </c>
      <c r="QD62" s="1039">
        <v>22.164007504540901</v>
      </c>
      <c r="QE62" s="1039">
        <v>11.3537140722228</v>
      </c>
      <c r="QF62" s="1040">
        <v>3.1616177991521899</v>
      </c>
    </row>
    <row r="63" spans="1:448" ht="13.5" customHeight="1">
      <c r="A63" s="595" t="s">
        <v>528</v>
      </c>
      <c r="B63" s="564" t="s">
        <v>585</v>
      </c>
      <c r="C63" s="1103">
        <v>1748.7156869999999</v>
      </c>
      <c r="D63" s="690">
        <v>1731.9284316053595</v>
      </c>
      <c r="E63" s="691">
        <v>1755.9741152532399</v>
      </c>
      <c r="F63" s="428"/>
      <c r="G63" s="565" t="s">
        <v>585</v>
      </c>
      <c r="H63" s="686">
        <f t="shared" si="5"/>
        <v>-1.9273677005943179E-3</v>
      </c>
      <c r="I63" s="668">
        <f t="shared" si="6"/>
        <v>2.761459086863649E-3</v>
      </c>
      <c r="J63" s="612"/>
      <c r="K63" s="63"/>
      <c r="L63" s="564" t="s">
        <v>585</v>
      </c>
      <c r="M63" s="636">
        <v>34</v>
      </c>
      <c r="N63" s="637">
        <v>27</v>
      </c>
      <c r="O63" s="637">
        <v>28</v>
      </c>
      <c r="P63" s="637">
        <v>25</v>
      </c>
      <c r="Q63" s="637">
        <v>31</v>
      </c>
      <c r="R63" s="637">
        <v>25</v>
      </c>
      <c r="S63" s="637">
        <v>21</v>
      </c>
      <c r="T63" s="637">
        <v>27</v>
      </c>
      <c r="U63" s="1138">
        <v>28</v>
      </c>
      <c r="V63" s="1138">
        <v>29</v>
      </c>
      <c r="W63" s="1139">
        <v>38</v>
      </c>
      <c r="X63" s="565" t="s">
        <v>585</v>
      </c>
      <c r="Y63" s="666">
        <v>30.5</v>
      </c>
      <c r="Z63" s="667">
        <v>26.5</v>
      </c>
      <c r="AA63" s="667">
        <v>28</v>
      </c>
      <c r="AB63" s="667">
        <v>24</v>
      </c>
      <c r="AC63" s="667">
        <v>24</v>
      </c>
      <c r="AD63" s="668">
        <v>-0.13114754098360656</v>
      </c>
      <c r="AE63" s="668">
        <v>5.6603773584905662E-2</v>
      </c>
      <c r="AF63" s="668">
        <v>-0.14285714285714285</v>
      </c>
      <c r="AG63" s="1213">
        <v>5.6603773584905662E-2</v>
      </c>
      <c r="AN63" s="565" t="s">
        <v>585</v>
      </c>
      <c r="AO63" s="636">
        <v>3.2943009999999999</v>
      </c>
      <c r="AP63" s="637">
        <v>14.014564</v>
      </c>
      <c r="AQ63" s="637">
        <v>89.776058000000006</v>
      </c>
      <c r="AR63" s="637">
        <v>269.60613499999999</v>
      </c>
      <c r="AS63" s="637">
        <v>424.44417499999997</v>
      </c>
      <c r="AT63" s="637">
        <v>264.960444</v>
      </c>
      <c r="AU63" s="637">
        <v>299.95174200000002</v>
      </c>
      <c r="AV63" s="173">
        <v>196.780314</v>
      </c>
      <c r="AW63" s="636">
        <v>0</v>
      </c>
      <c r="AX63" s="637">
        <v>14.891679193757811</v>
      </c>
      <c r="AY63" s="637">
        <v>120.35576751975746</v>
      </c>
      <c r="AZ63" s="637">
        <v>255.44701492194912</v>
      </c>
      <c r="BA63" s="637">
        <v>338.78534502955432</v>
      </c>
      <c r="BB63" s="637">
        <v>255.52768221354992</v>
      </c>
      <c r="BC63" s="637">
        <v>348.26081961829362</v>
      </c>
      <c r="BD63" s="173">
        <v>221.9688021900761</v>
      </c>
      <c r="BE63" s="1137">
        <v>0</v>
      </c>
      <c r="BF63" s="1138">
        <v>11.7814289351209</v>
      </c>
      <c r="BG63" s="1138">
        <v>114.576473790458</v>
      </c>
      <c r="BH63" s="1138">
        <v>288.14684115313298</v>
      </c>
      <c r="BI63" s="1138">
        <v>323.83155631202101</v>
      </c>
      <c r="BJ63" s="1138">
        <v>232.59469281691901</v>
      </c>
      <c r="BK63" s="1138">
        <v>343.49149858675702</v>
      </c>
      <c r="BL63" s="1139">
        <v>274.18866902026002</v>
      </c>
      <c r="BN63" s="565" t="s">
        <v>585</v>
      </c>
      <c r="BO63" s="647">
        <v>185.88795400000001</v>
      </c>
      <c r="BP63" s="648">
        <v>533.82276300000001</v>
      </c>
      <c r="BQ63" s="648">
        <v>405.22103399999997</v>
      </c>
      <c r="BR63" s="648">
        <v>285.733904</v>
      </c>
      <c r="BS63" s="648">
        <v>212.066025</v>
      </c>
      <c r="BT63" s="173">
        <v>125.984008</v>
      </c>
      <c r="BU63" s="647">
        <v>176.69132091842141</v>
      </c>
      <c r="BV63" s="648">
        <v>510.12533557736708</v>
      </c>
      <c r="BW63" s="648">
        <v>360.99683873128743</v>
      </c>
      <c r="BX63" s="648">
        <v>303.02137048349925</v>
      </c>
      <c r="BY63" s="648">
        <v>246.85901011064496</v>
      </c>
      <c r="BZ63" s="173">
        <v>134.2345557841397</v>
      </c>
      <c r="CA63" s="1137">
        <v>167.362954638574</v>
      </c>
      <c r="CB63" s="1138">
        <v>582.45718428114196</v>
      </c>
      <c r="CC63" s="1138">
        <v>350.52974549947101</v>
      </c>
      <c r="CD63" s="1138">
        <v>288.34160736722203</v>
      </c>
      <c r="CE63" s="1138">
        <v>226.02933694528701</v>
      </c>
      <c r="CF63" s="1139">
        <v>141.25328652154801</v>
      </c>
      <c r="CG63" s="429"/>
      <c r="CH63" s="565" t="s">
        <v>585</v>
      </c>
      <c r="CI63" s="172">
        <v>283.818264</v>
      </c>
      <c r="CJ63" s="337">
        <v>1215.7144820000001</v>
      </c>
      <c r="CK63" s="337">
        <v>249.182941</v>
      </c>
      <c r="CL63" s="647">
        <v>244.23388608661679</v>
      </c>
      <c r="CM63" s="648">
        <v>1236.7800322680826</v>
      </c>
      <c r="CN63" s="648">
        <v>250.91451325066049</v>
      </c>
      <c r="CO63" s="1137">
        <v>216.54306685831401</v>
      </c>
      <c r="CP63" s="1138">
        <v>1217.3747370787801</v>
      </c>
      <c r="CQ63" s="1139">
        <v>322.05631131614899</v>
      </c>
      <c r="CR63" s="429"/>
      <c r="DB63" s="426"/>
      <c r="DC63" s="426"/>
      <c r="DD63" s="426"/>
      <c r="DE63" s="426"/>
      <c r="DG63" s="565" t="s">
        <v>585</v>
      </c>
      <c r="DH63" s="1147" t="s">
        <v>774</v>
      </c>
      <c r="DI63" s="1150" t="s">
        <v>999</v>
      </c>
      <c r="DJ63" s="704" t="s">
        <v>1000</v>
      </c>
      <c r="DK63" s="704" t="s">
        <v>1001</v>
      </c>
      <c r="DL63" s="337" t="s">
        <v>1002</v>
      </c>
      <c r="DM63" s="174" t="s">
        <v>877</v>
      </c>
      <c r="DO63" s="564" t="s">
        <v>585</v>
      </c>
      <c r="DP63" s="704">
        <v>1157.09806</v>
      </c>
      <c r="DQ63" s="337">
        <v>1196.201323733015</v>
      </c>
      <c r="DR63" s="1139">
        <v>1281.8115144768699</v>
      </c>
      <c r="DS63" s="63"/>
      <c r="DT63" s="565" t="s">
        <v>585</v>
      </c>
      <c r="DU63" s="703">
        <v>1748.7156869999999</v>
      </c>
      <c r="DV63" s="704">
        <v>1731.9284316053595</v>
      </c>
      <c r="DW63" s="1139">
        <v>1755.9741152532399</v>
      </c>
      <c r="DX63" s="63"/>
      <c r="DY63" s="565" t="s">
        <v>585</v>
      </c>
      <c r="DZ63" s="1089">
        <f t="shared" si="32"/>
        <v>1.511294286501526</v>
      </c>
      <c r="EA63" s="787">
        <f t="shared" si="33"/>
        <v>1.4478569762826274</v>
      </c>
      <c r="EB63" s="776">
        <f t="shared" si="34"/>
        <v>1.3699160098198089</v>
      </c>
      <c r="ED63" s="541"/>
      <c r="EE63" s="565" t="s">
        <v>585</v>
      </c>
      <c r="EF63" s="732">
        <v>743.71727099999998</v>
      </c>
      <c r="EG63" s="732">
        <v>38.007967000000001</v>
      </c>
      <c r="EH63" s="732">
        <v>186.05743899999999</v>
      </c>
      <c r="EI63" s="732">
        <v>100.416892</v>
      </c>
      <c r="EJ63" s="732">
        <v>88.898491000000007</v>
      </c>
      <c r="EK63" s="703">
        <v>849.57467560628857</v>
      </c>
      <c r="EL63" s="704">
        <v>48.232151586634572</v>
      </c>
      <c r="EM63" s="704">
        <v>131.24154051370772</v>
      </c>
      <c r="EN63" s="704">
        <v>95.981931614798754</v>
      </c>
      <c r="EO63" s="704">
        <v>71.17102441158562</v>
      </c>
      <c r="EP63" s="1137">
        <v>950.20144292601901</v>
      </c>
      <c r="EQ63" s="1138">
        <v>38.302089899829298</v>
      </c>
      <c r="ER63" s="1138">
        <v>157.31777730345601</v>
      </c>
      <c r="ES63" s="1138">
        <v>62.600742113015301</v>
      </c>
      <c r="ET63" s="1139">
        <v>73.389462234551203</v>
      </c>
      <c r="EV63" s="565" t="s">
        <v>585</v>
      </c>
      <c r="EW63" s="703">
        <v>119.986193</v>
      </c>
      <c r="EX63" s="704">
        <v>360.70399900000001</v>
      </c>
      <c r="EY63" s="704">
        <v>204.294062</v>
      </c>
      <c r="EZ63" s="704">
        <v>58.733016999999997</v>
      </c>
      <c r="FA63" s="703">
        <v>328.71834000000001</v>
      </c>
      <c r="FB63" s="704">
        <v>786.33724700000005</v>
      </c>
      <c r="FC63" s="704">
        <v>372.41464300000001</v>
      </c>
      <c r="FD63" s="704">
        <v>75.357502999999994</v>
      </c>
      <c r="FE63" s="703">
        <v>110.61651598455731</v>
      </c>
      <c r="FF63" s="704">
        <v>410.88194043673667</v>
      </c>
      <c r="FG63" s="704">
        <v>253.38135573258069</v>
      </c>
      <c r="FH63" s="173">
        <v>74.694863452413784</v>
      </c>
      <c r="FI63" s="703">
        <v>308.21976925003077</v>
      </c>
      <c r="FJ63" s="704">
        <v>796.90968958718986</v>
      </c>
      <c r="FK63" s="746">
        <v>364.87540564857613</v>
      </c>
      <c r="FL63" s="747">
        <v>85.232246201141493</v>
      </c>
      <c r="FM63" s="1137">
        <v>162.912721870528</v>
      </c>
      <c r="FN63" s="1138">
        <v>440.43581731012301</v>
      </c>
      <c r="FO63" s="1138">
        <v>270.876941634226</v>
      </c>
      <c r="FP63" s="1139">
        <v>75.975962111142294</v>
      </c>
      <c r="FQ63" s="1137">
        <v>331.48208244530701</v>
      </c>
      <c r="FR63" s="1138">
        <v>781.868441470177</v>
      </c>
      <c r="FS63" s="1138">
        <v>384.55540374891302</v>
      </c>
      <c r="FT63" s="1139">
        <v>90.705232950273</v>
      </c>
      <c r="FV63" s="564" t="s">
        <v>585</v>
      </c>
      <c r="FW63" s="337">
        <v>197.03011799999999</v>
      </c>
      <c r="FX63" s="337">
        <v>125.580772</v>
      </c>
      <c r="FY63" s="337">
        <v>46.091447000000002</v>
      </c>
      <c r="FZ63" s="173">
        <v>6.6704850000000002</v>
      </c>
      <c r="GA63" s="703">
        <v>150.63383786238469</v>
      </c>
      <c r="GB63" s="704">
        <v>87.339306415710723</v>
      </c>
      <c r="GC63" s="704">
        <v>50.468048322983378</v>
      </c>
      <c r="GD63" s="173">
        <v>10.87986866466024</v>
      </c>
      <c r="GE63" s="1137">
        <v>172.85165677067599</v>
      </c>
      <c r="GF63" s="1138">
        <v>74.877310369121602</v>
      </c>
      <c r="GG63" s="1138">
        <v>36.285928268385298</v>
      </c>
      <c r="GH63" s="1139">
        <v>11.248486198289989</v>
      </c>
      <c r="GJ63" s="565" t="s">
        <v>585</v>
      </c>
      <c r="GK63" s="703">
        <v>1335.4985879999999</v>
      </c>
      <c r="GL63" s="704">
        <v>1349.4990651527053</v>
      </c>
      <c r="GM63" s="1139">
        <v>1424.00130153089</v>
      </c>
      <c r="GO63" s="565" t="s">
        <v>585</v>
      </c>
      <c r="GP63" s="703">
        <v>1157.09806</v>
      </c>
      <c r="GQ63" s="704">
        <v>84.296537999999998</v>
      </c>
      <c r="GR63" s="173">
        <v>94.103989999999996</v>
      </c>
      <c r="GS63" s="703">
        <v>1196.201323733015</v>
      </c>
      <c r="GT63" s="704">
        <v>5.9045637349848299</v>
      </c>
      <c r="GU63" s="173">
        <v>147.39317768470536</v>
      </c>
      <c r="GV63" s="1137">
        <v>1281.8115144768699</v>
      </c>
      <c r="GW63" s="1138">
        <v>17.772075685872899</v>
      </c>
      <c r="GX63" s="1139">
        <v>124.41771136814199</v>
      </c>
      <c r="GZ63" s="565" t="s">
        <v>585</v>
      </c>
      <c r="HA63" s="172">
        <v>0</v>
      </c>
      <c r="HB63" s="337">
        <v>1273.009235</v>
      </c>
      <c r="HC63" s="173">
        <f t="shared" si="7"/>
        <v>62.489352999999937</v>
      </c>
      <c r="HD63" s="703">
        <v>9.3861388528579592</v>
      </c>
      <c r="HE63" s="704">
        <v>1283.5116031258542</v>
      </c>
      <c r="HF63" s="173">
        <f t="shared" si="8"/>
        <v>56.601323173993023</v>
      </c>
      <c r="HG63" s="583">
        <v>6.0558838095835501</v>
      </c>
      <c r="HH63" s="1138">
        <v>1351.78824306555</v>
      </c>
      <c r="HI63" s="173">
        <f t="shared" si="9"/>
        <v>66.157174655756535</v>
      </c>
      <c r="HK63" s="565" t="s">
        <v>585</v>
      </c>
      <c r="HL63" s="704">
        <v>1157.09806</v>
      </c>
      <c r="HM63" s="704">
        <v>2901.4444269999999</v>
      </c>
      <c r="HN63" s="776">
        <f t="shared" si="10"/>
        <v>2.5075181847595527</v>
      </c>
      <c r="HO63" s="703">
        <v>1196.201323733015</v>
      </c>
      <c r="HP63" s="704">
        <v>3087.0089407417522</v>
      </c>
      <c r="HQ63" s="776">
        <f t="shared" si="11"/>
        <v>2.5806767468773963</v>
      </c>
      <c r="HR63" s="1138">
        <v>1281.8115144768699</v>
      </c>
      <c r="HS63" s="1138">
        <v>3232.0434329170898</v>
      </c>
      <c r="HT63" s="784">
        <f t="shared" si="12"/>
        <v>2.5214654388840816</v>
      </c>
      <c r="HV63" s="565" t="s">
        <v>585</v>
      </c>
      <c r="HW63" s="172">
        <v>0</v>
      </c>
      <c r="HX63" s="337">
        <v>0</v>
      </c>
      <c r="HY63" s="787">
        <v>0</v>
      </c>
      <c r="HZ63" s="704">
        <v>1095.6166009999999</v>
      </c>
      <c r="IA63" s="704">
        <v>2813.7577550000001</v>
      </c>
      <c r="IB63" s="787">
        <f t="shared" si="14"/>
        <v>2.5681956191899653</v>
      </c>
      <c r="IC63" s="703">
        <v>9.3861388528579592</v>
      </c>
      <c r="ID63" s="704">
        <v>37.482270218553722</v>
      </c>
      <c r="IE63" s="787">
        <f t="shared" si="15"/>
        <v>3.9933641304635987</v>
      </c>
      <c r="IF63" s="704">
        <v>1133.3529579758399</v>
      </c>
      <c r="IG63" s="704">
        <v>2925.3996304038237</v>
      </c>
      <c r="IH63" s="787">
        <f t="shared" si="16"/>
        <v>2.5811902724713103</v>
      </c>
      <c r="II63" s="1137">
        <v>6.0558838095835501</v>
      </c>
      <c r="IJ63" s="1138">
        <v>18.167651428750698</v>
      </c>
      <c r="IK63" s="1170">
        <f t="shared" si="17"/>
        <v>3.000000000000008</v>
      </c>
      <c r="IL63" s="1138">
        <v>1213.53823227567</v>
      </c>
      <c r="IM63" s="1138">
        <v>3068.8824563073499</v>
      </c>
      <c r="IN63" s="1171">
        <f t="shared" si="18"/>
        <v>2.5288716702006764</v>
      </c>
      <c r="IP63" s="565" t="s">
        <v>585</v>
      </c>
      <c r="IQ63" s="172">
        <v>149.16993600000001</v>
      </c>
      <c r="IR63" s="704">
        <v>460.110139</v>
      </c>
      <c r="IS63" s="704">
        <v>377.66019799999998</v>
      </c>
      <c r="IT63" s="704">
        <v>158.770567</v>
      </c>
      <c r="IU63" s="704">
        <v>11.387221</v>
      </c>
      <c r="IV63" s="704">
        <v>2901.4444269999999</v>
      </c>
      <c r="IW63" s="703">
        <v>90.103368171474514</v>
      </c>
      <c r="IX63" s="704">
        <v>509.89253918169572</v>
      </c>
      <c r="IY63" s="704">
        <v>446.32045655403681</v>
      </c>
      <c r="IZ63" s="704">
        <v>124.32692974327109</v>
      </c>
      <c r="JA63" s="704">
        <v>25.558030082536856</v>
      </c>
      <c r="JB63" s="173">
        <v>3087.0089407417522</v>
      </c>
      <c r="JC63" s="1137">
        <v>121.874609697715</v>
      </c>
      <c r="JD63" s="1138">
        <v>561.15232701486002</v>
      </c>
      <c r="JE63" s="1138">
        <v>466.26011884884201</v>
      </c>
      <c r="JF63" s="1138">
        <v>101.667844018248</v>
      </c>
      <c r="JG63" s="1138">
        <v>30.856614897205901</v>
      </c>
      <c r="JH63" s="1139">
        <v>3232.0434329170898</v>
      </c>
      <c r="JJ63" s="565" t="s">
        <v>585</v>
      </c>
      <c r="JK63" s="172">
        <v>65.662227999999999</v>
      </c>
      <c r="JL63" s="337">
        <v>342.57509600000003</v>
      </c>
      <c r="JM63" s="337">
        <v>740.526971</v>
      </c>
      <c r="JN63" s="173">
        <v>8.3337649999999996</v>
      </c>
      <c r="JO63" s="703">
        <v>119.5184380304416</v>
      </c>
      <c r="JP63" s="704">
        <v>441.03673057898254</v>
      </c>
      <c r="JQ63" s="704">
        <v>614.14427002828938</v>
      </c>
      <c r="JR63" s="173">
        <v>21.5018850953014</v>
      </c>
      <c r="JS63" s="1137">
        <v>123.974533717464</v>
      </c>
      <c r="JT63" s="1138">
        <v>495.85574099787607</v>
      </c>
      <c r="JU63" s="1138">
        <v>647.91731525420403</v>
      </c>
      <c r="JV63" s="1139">
        <v>14.063924507323099</v>
      </c>
      <c r="JX63" s="565" t="s">
        <v>585</v>
      </c>
      <c r="JY63" s="703">
        <v>281.50590614615902</v>
      </c>
      <c r="JZ63" s="704">
        <v>426.48928422763998</v>
      </c>
      <c r="KA63" s="704">
        <v>223.33265673176999</v>
      </c>
      <c r="KB63" s="173">
        <v>350.48366737130198</v>
      </c>
      <c r="KC63" s="603"/>
      <c r="KD63" s="565" t="s">
        <v>585</v>
      </c>
      <c r="KE63" s="703">
        <v>4.3097443825988497</v>
      </c>
      <c r="KF63" s="704">
        <v>6.2651443380485299</v>
      </c>
      <c r="KG63" s="704">
        <v>248.13195230390801</v>
      </c>
      <c r="KH63" s="704">
        <v>790.39738002927595</v>
      </c>
      <c r="KI63" s="704">
        <v>103.129753880503</v>
      </c>
      <c r="KJ63" s="173">
        <v>54.084232678089997</v>
      </c>
      <c r="KK63" s="703">
        <v>0</v>
      </c>
      <c r="KL63" s="704">
        <v>0</v>
      </c>
      <c r="KM63" s="704">
        <v>0</v>
      </c>
      <c r="KN63" s="704">
        <v>6.0558838095835501</v>
      </c>
      <c r="KO63" s="704">
        <v>0</v>
      </c>
      <c r="KP63" s="173">
        <v>0</v>
      </c>
      <c r="KQ63" s="703">
        <v>4.3097443825988497</v>
      </c>
      <c r="KR63" s="704">
        <v>6.2651443380485299</v>
      </c>
      <c r="KS63" s="704">
        <v>303.10650637974902</v>
      </c>
      <c r="KT63" s="704">
        <v>800.364063749759</v>
      </c>
      <c r="KU63" s="704">
        <v>106.461798285377</v>
      </c>
      <c r="KV63" s="173">
        <v>54.084232678089997</v>
      </c>
      <c r="KW63" s="429"/>
      <c r="KX63" s="565" t="s">
        <v>585</v>
      </c>
      <c r="KY63" s="172">
        <f t="shared" si="35"/>
        <v>284.27520300000015</v>
      </c>
      <c r="KZ63" s="337">
        <v>716.15000999999995</v>
      </c>
      <c r="LA63" s="173">
        <v>156.67284699999999</v>
      </c>
      <c r="LB63" s="172">
        <f t="shared" si="36"/>
        <v>383.37753905905799</v>
      </c>
      <c r="LC63" s="704">
        <v>690.95411477646098</v>
      </c>
      <c r="LD63" s="173">
        <v>121.86966989749597</v>
      </c>
      <c r="LE63" s="172">
        <f t="shared" si="37"/>
        <v>386.79769483488894</v>
      </c>
      <c r="LF63" s="1138">
        <v>779.29039256417298</v>
      </c>
      <c r="LG63" s="1139">
        <v>115.723427077808</v>
      </c>
      <c r="LH63" s="426"/>
      <c r="LI63" s="565" t="s">
        <v>585</v>
      </c>
      <c r="LJ63" s="172">
        <v>1080.751577</v>
      </c>
      <c r="LK63" s="337">
        <v>911.45291499999996</v>
      </c>
      <c r="LL63" s="337">
        <v>169.29866200000001</v>
      </c>
      <c r="LM63" s="337">
        <v>93.433976999999999</v>
      </c>
      <c r="LN63" s="337">
        <v>64.953899000000007</v>
      </c>
      <c r="LO63" s="173">
        <v>74.505340000000004</v>
      </c>
      <c r="LP63" s="703">
        <v>991.64154984414245</v>
      </c>
      <c r="LQ63" s="704">
        <v>835.95302582072884</v>
      </c>
      <c r="LR63" s="704">
        <v>155.68852402341366</v>
      </c>
      <c r="LS63" s="704">
        <v>131.09019416708605</v>
      </c>
      <c r="LT63" s="704">
        <v>107.644781073258</v>
      </c>
      <c r="LU63" s="173">
        <v>73.9460723517914</v>
      </c>
      <c r="LV63" s="1137">
        <v>975.68945064664899</v>
      </c>
      <c r="LW63" s="1138">
        <v>798.32163537256304</v>
      </c>
      <c r="LX63" s="1138">
        <v>177.36781527408701</v>
      </c>
      <c r="LY63" s="1138">
        <v>144.15213708676899</v>
      </c>
      <c r="LZ63" s="1138">
        <v>57.813031634417598</v>
      </c>
      <c r="MA63" s="1139">
        <v>88.900229930684006</v>
      </c>
      <c r="MC63" s="565" t="s">
        <v>585</v>
      </c>
      <c r="MD63" s="172">
        <v>0</v>
      </c>
      <c r="ME63" s="337">
        <v>9.7123699999999999</v>
      </c>
      <c r="MF63" s="337">
        <v>78.414460000000005</v>
      </c>
      <c r="MG63" s="337">
        <v>227.23925600000001</v>
      </c>
      <c r="MH63" s="337">
        <v>389.18893700000001</v>
      </c>
      <c r="MI63" s="173">
        <v>206.89789099999999</v>
      </c>
      <c r="MJ63" s="703">
        <v>0</v>
      </c>
      <c r="MK63" s="704">
        <v>8.6842532974338642</v>
      </c>
      <c r="ML63" s="704">
        <v>110.08843541057163</v>
      </c>
      <c r="MM63" s="704">
        <v>217.89486378672424</v>
      </c>
      <c r="MN63" s="704">
        <v>290.35016116894531</v>
      </c>
      <c r="MO63" s="173">
        <v>208.93531215705372</v>
      </c>
      <c r="MP63" s="1137">
        <v>0</v>
      </c>
      <c r="MQ63" s="1138">
        <v>11.7814289351209</v>
      </c>
      <c r="MR63" s="1138">
        <v>107.219209356311</v>
      </c>
      <c r="MS63" s="1138">
        <v>234.176885994896</v>
      </c>
      <c r="MT63" s="1138">
        <v>258.111625437513</v>
      </c>
      <c r="MU63" s="1139">
        <v>187.032485648722</v>
      </c>
      <c r="MW63" s="565" t="s">
        <v>585</v>
      </c>
      <c r="MX63" s="172">
        <v>914.74721599999998</v>
      </c>
      <c r="MY63" s="337">
        <v>892.02817500000003</v>
      </c>
      <c r="MZ63" s="337">
        <v>22.719041000000001</v>
      </c>
      <c r="NA63" s="703">
        <v>842.21698458071353</v>
      </c>
      <c r="NB63" s="704">
        <v>820.03759288638048</v>
      </c>
      <c r="NC63" s="173">
        <v>22.179391694332978</v>
      </c>
      <c r="ND63" s="1137">
        <v>820.23661075735004</v>
      </c>
      <c r="NE63" s="1138">
        <v>790.47211595624401</v>
      </c>
      <c r="NF63" s="1139">
        <v>29.7644948011067</v>
      </c>
      <c r="NH63" s="565" t="s">
        <v>585</v>
      </c>
      <c r="NI63" s="703">
        <v>670.3251645853278</v>
      </c>
      <c r="NJ63" s="173">
        <v>149.71242830105265</v>
      </c>
      <c r="NK63" s="703">
        <v>17.201397299486811</v>
      </c>
      <c r="NL63" s="704">
        <v>4.977994394846168</v>
      </c>
      <c r="NM63" s="173">
        <v>0</v>
      </c>
      <c r="NN63" s="1137">
        <v>597.10786823166598</v>
      </c>
      <c r="NO63" s="1139">
        <v>193.36424772457775</v>
      </c>
      <c r="NP63" s="1137">
        <v>27.809094845657</v>
      </c>
      <c r="NQ63" s="1138">
        <v>1.9553999554496799</v>
      </c>
      <c r="NR63" s="1139">
        <v>0</v>
      </c>
      <c r="NS63" s="136"/>
      <c r="NT63" s="565" t="s">
        <v>585</v>
      </c>
      <c r="NU63" s="703">
        <v>70.54112896772223</v>
      </c>
      <c r="NV63" s="704">
        <v>30.768486444180454</v>
      </c>
      <c r="NW63" s="704">
        <v>3.1390938164323399</v>
      </c>
      <c r="NX63" s="173">
        <v>45.263719072717628</v>
      </c>
      <c r="NY63" s="1137">
        <v>104.558686301365</v>
      </c>
      <c r="NZ63" s="1138">
        <v>35.218332750101602</v>
      </c>
      <c r="OA63" s="1138">
        <v>6.47287496689487</v>
      </c>
      <c r="OB63" s="1139">
        <v>47.114353706216299</v>
      </c>
      <c r="OC63" s="553"/>
      <c r="OD63" s="565" t="s">
        <v>585</v>
      </c>
      <c r="OE63" s="703">
        <v>22.963166220460099</v>
      </c>
      <c r="OF63" s="704">
        <v>25.383788858521001</v>
      </c>
      <c r="OG63" s="704">
        <v>32.283375942224602</v>
      </c>
      <c r="OH63" s="704">
        <v>8.8941417711408199</v>
      </c>
      <c r="OI63" s="704">
        <v>215.28120644777499</v>
      </c>
      <c r="OJ63" s="704">
        <v>25.360969205996799</v>
      </c>
      <c r="OK63" s="173">
        <v>40.598735573274602</v>
      </c>
      <c r="OL63" s="703">
        <v>43.320154660352202</v>
      </c>
      <c r="OM63" s="704">
        <v>26.361488836245801</v>
      </c>
      <c r="ON63" s="704">
        <v>32.283375942224602</v>
      </c>
      <c r="OO63" s="704">
        <v>9.9936328526576297</v>
      </c>
      <c r="OP63" s="704">
        <v>321.48844959264898</v>
      </c>
      <c r="OQ63" s="704">
        <v>250.97510183583501</v>
      </c>
      <c r="OR63" s="173">
        <v>1006.15397633353</v>
      </c>
      <c r="OT63" s="565" t="s">
        <v>585</v>
      </c>
      <c r="OU63" s="172">
        <v>415.39381800000001</v>
      </c>
      <c r="OV63" s="337">
        <v>308.23944699999998</v>
      </c>
      <c r="OW63" s="337">
        <v>281.10884900000002</v>
      </c>
      <c r="OX63" s="173">
        <v>378.409515</v>
      </c>
      <c r="OY63" s="703">
        <v>291.59769008668474</v>
      </c>
      <c r="OZ63" s="704">
        <v>330.75767060846948</v>
      </c>
      <c r="PA63" s="704">
        <v>287.87359591368943</v>
      </c>
      <c r="PB63" s="173">
        <v>416.70622201257169</v>
      </c>
      <c r="PC63" s="1137">
        <v>278.53697395699299</v>
      </c>
      <c r="PD63" s="1138">
        <v>369.45615853572099</v>
      </c>
      <c r="PE63" s="1138">
        <v>275.09232019474001</v>
      </c>
      <c r="PF63" s="1139">
        <v>375.39065492902745</v>
      </c>
      <c r="PH63" s="565" t="s">
        <v>585</v>
      </c>
      <c r="PI63" s="703">
        <v>112.8884568687441</v>
      </c>
      <c r="PJ63" s="704">
        <v>210.034610759613</v>
      </c>
      <c r="PK63" s="704">
        <v>121.40646512463999</v>
      </c>
      <c r="PL63" s="173">
        <v>204.92178545134041</v>
      </c>
      <c r="PM63" s="703">
        <v>165.64851708824881</v>
      </c>
      <c r="PN63" s="704">
        <v>159.42154777610801</v>
      </c>
      <c r="PO63" s="704">
        <v>153.68585507009999</v>
      </c>
      <c r="PP63" s="173">
        <v>170.46886947768729</v>
      </c>
      <c r="PQ63" s="65"/>
      <c r="PR63" s="565" t="s">
        <v>585</v>
      </c>
      <c r="PS63" s="1038">
        <v>5.9610418379662997</v>
      </c>
      <c r="PT63" s="1039">
        <v>58.775463775409797</v>
      </c>
      <c r="PU63" s="1039">
        <v>40.561592355361199</v>
      </c>
      <c r="PV63" s="1039">
        <v>4.2869247300746496</v>
      </c>
      <c r="PW63" s="1039">
        <v>523.73832212916795</v>
      </c>
      <c r="PX63" s="1040">
        <v>186.91326592937</v>
      </c>
      <c r="PZ63" s="565" t="s">
        <v>585</v>
      </c>
      <c r="QA63" s="1038">
        <v>481.49628828465001</v>
      </c>
      <c r="QB63" s="1039">
        <v>338.740322472701</v>
      </c>
      <c r="QC63" s="1039">
        <v>292.43420711391701</v>
      </c>
      <c r="QD63" s="1039">
        <v>21.517740957709901</v>
      </c>
      <c r="QE63" s="1039">
        <v>24.788374401073899</v>
      </c>
      <c r="QF63" s="1040">
        <v>0</v>
      </c>
    </row>
    <row r="64" spans="1:448" ht="13.5" customHeight="1">
      <c r="A64" s="595" t="s">
        <v>529</v>
      </c>
      <c r="B64" s="564" t="s">
        <v>586</v>
      </c>
      <c r="C64" s="1103">
        <v>3215.2402790000001</v>
      </c>
      <c r="D64" s="690">
        <v>2907.5285178274839</v>
      </c>
      <c r="E64" s="691">
        <v>2853.0744619350298</v>
      </c>
      <c r="F64" s="428"/>
      <c r="G64" s="565" t="s">
        <v>586</v>
      </c>
      <c r="H64" s="686">
        <f t="shared" si="5"/>
        <v>-1.9918684348459448E-2</v>
      </c>
      <c r="I64" s="668">
        <f t="shared" si="6"/>
        <v>-3.7741085456087786E-3</v>
      </c>
      <c r="J64" s="612"/>
      <c r="K64" s="63"/>
      <c r="L64" s="564" t="s">
        <v>586</v>
      </c>
      <c r="M64" s="636">
        <v>74</v>
      </c>
      <c r="N64" s="637">
        <v>60</v>
      </c>
      <c r="O64" s="637">
        <v>64</v>
      </c>
      <c r="P64" s="637">
        <v>62</v>
      </c>
      <c r="Q64" s="637">
        <v>65</v>
      </c>
      <c r="R64" s="637">
        <v>66</v>
      </c>
      <c r="S64" s="637">
        <v>76</v>
      </c>
      <c r="T64" s="637">
        <v>68</v>
      </c>
      <c r="U64" s="1138">
        <v>41</v>
      </c>
      <c r="V64" s="1138">
        <v>55</v>
      </c>
      <c r="W64" s="1139">
        <v>47</v>
      </c>
      <c r="X64" s="565" t="s">
        <v>586</v>
      </c>
      <c r="Y64" s="666">
        <v>67</v>
      </c>
      <c r="Z64" s="667">
        <v>63</v>
      </c>
      <c r="AA64" s="667">
        <v>65.5</v>
      </c>
      <c r="AB64" s="667">
        <v>72</v>
      </c>
      <c r="AC64" s="667">
        <v>72</v>
      </c>
      <c r="AD64" s="668">
        <v>-5.9701492537313432E-2</v>
      </c>
      <c r="AE64" s="668">
        <v>3.968253968253968E-2</v>
      </c>
      <c r="AF64" s="668">
        <v>9.9236641221374045E-2</v>
      </c>
      <c r="AG64" s="1213">
        <v>3.968253968253968E-2</v>
      </c>
      <c r="AN64" s="565" t="s">
        <v>586</v>
      </c>
      <c r="AO64" s="636">
        <v>0</v>
      </c>
      <c r="AP64" s="637">
        <v>27.356390999999999</v>
      </c>
      <c r="AQ64" s="637">
        <v>32.207245</v>
      </c>
      <c r="AR64" s="637">
        <v>165.47020900000001</v>
      </c>
      <c r="AS64" s="637">
        <v>621.37251400000002</v>
      </c>
      <c r="AT64" s="637">
        <v>729.41412000000003</v>
      </c>
      <c r="AU64" s="637">
        <v>362.78878400000002</v>
      </c>
      <c r="AV64" s="173">
        <v>524.929393</v>
      </c>
      <c r="AW64" s="636">
        <v>1.0463452253212999</v>
      </c>
      <c r="AX64" s="637">
        <v>21.09584806698204</v>
      </c>
      <c r="AY64" s="637">
        <v>26.67916603252911</v>
      </c>
      <c r="AZ64" s="637">
        <v>145.28160614273327</v>
      </c>
      <c r="BA64" s="637">
        <v>587.66474815638776</v>
      </c>
      <c r="BB64" s="637">
        <v>569.4321823403269</v>
      </c>
      <c r="BC64" s="637">
        <v>434.64145762877928</v>
      </c>
      <c r="BD64" s="173">
        <v>515.55409346037163</v>
      </c>
      <c r="BE64" s="1137">
        <v>3.6666937980988399</v>
      </c>
      <c r="BF64" s="1138">
        <v>41.824611285904702</v>
      </c>
      <c r="BG64" s="1138">
        <v>34.9215902101867</v>
      </c>
      <c r="BH64" s="1138">
        <v>137.57686123394799</v>
      </c>
      <c r="BI64" s="1138">
        <v>472.981730869366</v>
      </c>
      <c r="BJ64" s="1138">
        <v>448.96689635357899</v>
      </c>
      <c r="BK64" s="1138">
        <v>455.604348746749</v>
      </c>
      <c r="BL64" s="1139">
        <v>630.221880865407</v>
      </c>
      <c r="BN64" s="565" t="s">
        <v>586</v>
      </c>
      <c r="BO64" s="647">
        <v>751.70162200000004</v>
      </c>
      <c r="BP64" s="648">
        <v>698.92163100000005</v>
      </c>
      <c r="BQ64" s="648">
        <v>809.08246299999996</v>
      </c>
      <c r="BR64" s="648">
        <v>597.33614499999999</v>
      </c>
      <c r="BS64" s="648">
        <v>261.586568</v>
      </c>
      <c r="BT64" s="173">
        <v>96.611850000000004</v>
      </c>
      <c r="BU64" s="647">
        <v>606.13307077405261</v>
      </c>
      <c r="BV64" s="648">
        <v>583.17033035214354</v>
      </c>
      <c r="BW64" s="648">
        <v>651.80927405408931</v>
      </c>
      <c r="BX64" s="648">
        <v>584.35568390145352</v>
      </c>
      <c r="BY64" s="648">
        <v>356.31294457416442</v>
      </c>
      <c r="BZ64" s="173">
        <v>125.7472141715804</v>
      </c>
      <c r="CA64" s="1137">
        <v>627.30984857179203</v>
      </c>
      <c r="CB64" s="1138">
        <v>549.22124707203</v>
      </c>
      <c r="CC64" s="1138">
        <v>570.23945921615098</v>
      </c>
      <c r="CD64" s="1138">
        <v>540.25215908436599</v>
      </c>
      <c r="CE64" s="1138">
        <v>417.62527238369398</v>
      </c>
      <c r="CF64" s="1139">
        <v>148.42647560699899</v>
      </c>
      <c r="CG64" s="429"/>
      <c r="CH64" s="565" t="s">
        <v>586</v>
      </c>
      <c r="CI64" s="172">
        <v>933.83061699999996</v>
      </c>
      <c r="CJ64" s="337">
        <v>2042.813566</v>
      </c>
      <c r="CK64" s="337">
        <v>238.59609699999999</v>
      </c>
      <c r="CL64" s="647">
        <v>774.87555210140374</v>
      </c>
      <c r="CM64" s="648">
        <v>1842.338312259116</v>
      </c>
      <c r="CN64" s="648">
        <v>290.31465346696444</v>
      </c>
      <c r="CO64" s="1137">
        <v>802.11969461822605</v>
      </c>
      <c r="CP64" s="1138">
        <v>1661.2084932242001</v>
      </c>
      <c r="CQ64" s="1139">
        <v>389.74627409260398</v>
      </c>
      <c r="CR64" s="429"/>
      <c r="DB64" s="426"/>
      <c r="DC64" s="426"/>
      <c r="DD64" s="426"/>
      <c r="DE64" s="426"/>
      <c r="DG64" s="565" t="s">
        <v>586</v>
      </c>
      <c r="DH64" s="1147" t="s">
        <v>775</v>
      </c>
      <c r="DI64" s="1150" t="s">
        <v>912</v>
      </c>
      <c r="DJ64" s="704" t="s">
        <v>1003</v>
      </c>
      <c r="DK64" s="704" t="s">
        <v>1004</v>
      </c>
      <c r="DL64" s="337" t="s">
        <v>1005</v>
      </c>
      <c r="DM64" s="174" t="s">
        <v>877</v>
      </c>
      <c r="DO64" s="564" t="s">
        <v>586</v>
      </c>
      <c r="DP64" s="704">
        <v>1599.7518070000001</v>
      </c>
      <c r="DQ64" s="337">
        <v>1600.8063913852343</v>
      </c>
      <c r="DR64" s="1139">
        <v>1544.4046020348601</v>
      </c>
      <c r="DS64" s="63"/>
      <c r="DT64" s="565" t="s">
        <v>586</v>
      </c>
      <c r="DU64" s="703">
        <v>3215.2402790000001</v>
      </c>
      <c r="DV64" s="704">
        <v>2907.5285178274839</v>
      </c>
      <c r="DW64" s="1139">
        <v>2853.0744619350298</v>
      </c>
      <c r="DX64" s="63"/>
      <c r="DY64" s="565" t="s">
        <v>586</v>
      </c>
      <c r="DZ64" s="1089">
        <f t="shared" si="32"/>
        <v>2.0098369415375195</v>
      </c>
      <c r="EA64" s="787">
        <f t="shared" si="33"/>
        <v>1.8162899233001544</v>
      </c>
      <c r="EB64" s="776">
        <f t="shared" si="34"/>
        <v>1.8473620566630704</v>
      </c>
      <c r="ED64" s="541"/>
      <c r="EE64" s="565" t="s">
        <v>586</v>
      </c>
      <c r="EF64" s="732">
        <v>823.73309400000005</v>
      </c>
      <c r="EG64" s="732">
        <v>33.936954999999998</v>
      </c>
      <c r="EH64" s="732">
        <v>177.762979</v>
      </c>
      <c r="EI64" s="732">
        <v>313.758712</v>
      </c>
      <c r="EJ64" s="732">
        <v>250.56006600000001</v>
      </c>
      <c r="EK64" s="703">
        <v>898.55761027627091</v>
      </c>
      <c r="EL64" s="704">
        <v>37.873259004006918</v>
      </c>
      <c r="EM64" s="704">
        <v>158.24802852945132</v>
      </c>
      <c r="EN64" s="704">
        <v>219.22765402155983</v>
      </c>
      <c r="EO64" s="704">
        <v>286.89983955394518</v>
      </c>
      <c r="EP64" s="1137">
        <v>908.91313418450102</v>
      </c>
      <c r="EQ64" s="1138">
        <v>32.376467956768899</v>
      </c>
      <c r="ER64" s="1138">
        <v>149.973467408815</v>
      </c>
      <c r="ES64" s="1138">
        <v>223.02210088200101</v>
      </c>
      <c r="ET64" s="1139">
        <v>230.11943160277801</v>
      </c>
      <c r="EV64" s="565" t="s">
        <v>586</v>
      </c>
      <c r="EW64" s="703">
        <v>58.219970000000004</v>
      </c>
      <c r="EX64" s="704">
        <v>441.18142599999999</v>
      </c>
      <c r="EY64" s="704">
        <v>290.62126799999999</v>
      </c>
      <c r="EZ64" s="704">
        <v>33.710431</v>
      </c>
      <c r="FA64" s="703">
        <v>407.75090299999999</v>
      </c>
      <c r="FB64" s="704">
        <v>1469.8317649999999</v>
      </c>
      <c r="FC64" s="704">
        <v>538.69382399999995</v>
      </c>
      <c r="FD64" s="704">
        <v>47.262165000000003</v>
      </c>
      <c r="FE64" s="703">
        <v>46.159189618739951</v>
      </c>
      <c r="FF64" s="704">
        <v>431.34960402105526</v>
      </c>
      <c r="FG64" s="704">
        <v>368.93628534571428</v>
      </c>
      <c r="FH64" s="173">
        <v>52.112531290761382</v>
      </c>
      <c r="FI64" s="703">
        <v>360.25878106327912</v>
      </c>
      <c r="FJ64" s="704">
        <v>1272.5143435251034</v>
      </c>
      <c r="FK64" s="746">
        <v>599.69300871958512</v>
      </c>
      <c r="FL64" s="747">
        <v>68.929313745463446</v>
      </c>
      <c r="FM64" s="1137">
        <v>70.689543933384897</v>
      </c>
      <c r="FN64" s="1138">
        <v>393.61204719310899</v>
      </c>
      <c r="FO64" s="1138">
        <v>386.435688570548</v>
      </c>
      <c r="FP64" s="1139">
        <v>58.175854487459603</v>
      </c>
      <c r="FQ64" s="1137">
        <v>368.50805397089101</v>
      </c>
      <c r="FR64" s="1138">
        <v>1106.7221347546399</v>
      </c>
      <c r="FS64" s="1138">
        <v>681.57327647741897</v>
      </c>
      <c r="FT64" s="1139">
        <v>68.961148160293902</v>
      </c>
      <c r="FV64" s="564" t="s">
        <v>586</v>
      </c>
      <c r="FW64" s="704">
        <v>224.13954899999999</v>
      </c>
      <c r="FX64" s="704">
        <v>261.56438400000002</v>
      </c>
      <c r="FY64" s="704">
        <v>160.040164</v>
      </c>
      <c r="FZ64" s="173">
        <v>107.149156</v>
      </c>
      <c r="GA64" s="703">
        <v>193.85450629315599</v>
      </c>
      <c r="GB64" s="704">
        <v>251.37838005750527</v>
      </c>
      <c r="GC64" s="704">
        <v>157.81939646035633</v>
      </c>
      <c r="GD64" s="173">
        <v>66.925657483570006</v>
      </c>
      <c r="GE64" s="1137">
        <v>180.602139935183</v>
      </c>
      <c r="GF64" s="1138">
        <v>190.73680766333101</v>
      </c>
      <c r="GG64" s="1138">
        <v>136.914004144307</v>
      </c>
      <c r="GH64" s="1139">
        <v>96.942398272204997</v>
      </c>
      <c r="GJ64" s="565" t="s">
        <v>586</v>
      </c>
      <c r="GK64" s="703">
        <v>1669.9980479999999</v>
      </c>
      <c r="GL64" s="704">
        <v>1668.9987489484481</v>
      </c>
      <c r="GM64" s="1139">
        <v>1711.0015681637001</v>
      </c>
      <c r="GO64" s="565" t="s">
        <v>586</v>
      </c>
      <c r="GP64" s="703">
        <v>1599.7518070000001</v>
      </c>
      <c r="GQ64" s="704">
        <v>3.6848809999999999</v>
      </c>
      <c r="GR64" s="173">
        <v>66.561361000000005</v>
      </c>
      <c r="GS64" s="703">
        <v>1600.8063913852343</v>
      </c>
      <c r="GT64" s="704">
        <v>4.5751767639531398</v>
      </c>
      <c r="GU64" s="173">
        <v>63.617180799260453</v>
      </c>
      <c r="GV64" s="1137">
        <v>1544.4046020348601</v>
      </c>
      <c r="GW64" s="1138">
        <v>15.5330407396015</v>
      </c>
      <c r="GX64" s="1139">
        <v>151.063925389237</v>
      </c>
      <c r="GZ64" s="565" t="s">
        <v>586</v>
      </c>
      <c r="HA64" s="172">
        <v>1.842438</v>
      </c>
      <c r="HB64" s="337">
        <v>1661.615174</v>
      </c>
      <c r="HC64" s="173">
        <f t="shared" si="7"/>
        <v>6.5404359999999997</v>
      </c>
      <c r="HD64" s="703">
        <v>1.0463452253212999</v>
      </c>
      <c r="HE64" s="704">
        <v>1664.8133680471626</v>
      </c>
      <c r="HF64" s="173">
        <f t="shared" si="8"/>
        <v>3.1390356759641236</v>
      </c>
      <c r="HG64" s="583">
        <v>0</v>
      </c>
      <c r="HH64" s="1138">
        <v>1701.7747338259401</v>
      </c>
      <c r="HI64" s="173">
        <f t="shared" si="9"/>
        <v>9.2268343377600104</v>
      </c>
      <c r="HK64" s="565" t="s">
        <v>586</v>
      </c>
      <c r="HL64" s="704">
        <v>1599.7518070000001</v>
      </c>
      <c r="HM64" s="704">
        <v>4336.5063829999999</v>
      </c>
      <c r="HN64" s="776">
        <f t="shared" si="10"/>
        <v>2.7107369805896395</v>
      </c>
      <c r="HO64" s="703">
        <v>1600.8063913852343</v>
      </c>
      <c r="HP64" s="704">
        <v>4394.8231387274218</v>
      </c>
      <c r="HQ64" s="776">
        <f t="shared" si="11"/>
        <v>2.7453808045608978</v>
      </c>
      <c r="HR64" s="1138">
        <v>1544.4046020348601</v>
      </c>
      <c r="HS64" s="1138">
        <v>4164.10918225756</v>
      </c>
      <c r="HT64" s="784">
        <f t="shared" si="12"/>
        <v>2.696255357418035</v>
      </c>
      <c r="HV64" s="565" t="s">
        <v>586</v>
      </c>
      <c r="HW64" s="172">
        <v>1.842438</v>
      </c>
      <c r="HX64" s="337">
        <v>3.6848770000000002</v>
      </c>
      <c r="HY64" s="787">
        <v>0</v>
      </c>
      <c r="HZ64" s="704">
        <v>1591.368933</v>
      </c>
      <c r="IA64" s="704">
        <v>4319.7406350000001</v>
      </c>
      <c r="IB64" s="787">
        <f t="shared" si="14"/>
        <v>2.7144809386573594</v>
      </c>
      <c r="IC64" s="703">
        <v>1.0463452253212999</v>
      </c>
      <c r="ID64" s="704">
        <v>6.2780713519278004</v>
      </c>
      <c r="IE64" s="787">
        <f t="shared" si="15"/>
        <v>6.0000000000000009</v>
      </c>
      <c r="IF64" s="704">
        <v>1596.621010483949</v>
      </c>
      <c r="IG64" s="704">
        <v>4379.1279603476023</v>
      </c>
      <c r="IH64" s="787">
        <f t="shared" si="16"/>
        <v>2.74274729669269</v>
      </c>
      <c r="II64" s="1137">
        <v>0</v>
      </c>
      <c r="IJ64" s="1138">
        <v>0</v>
      </c>
      <c r="IK64" s="1170">
        <v>0</v>
      </c>
      <c r="IL64" s="1138">
        <v>1535.1777676971001</v>
      </c>
      <c r="IM64" s="1138">
        <v>4134.4710110627402</v>
      </c>
      <c r="IN64" s="1171">
        <f t="shared" si="18"/>
        <v>2.6931545636338949</v>
      </c>
      <c r="IP64" s="565" t="s">
        <v>586</v>
      </c>
      <c r="IQ64" s="703">
        <v>173.51888400000001</v>
      </c>
      <c r="IR64" s="704">
        <v>581.847846</v>
      </c>
      <c r="IS64" s="704">
        <v>526.40761099999997</v>
      </c>
      <c r="IT64" s="704">
        <v>200.20495399999999</v>
      </c>
      <c r="IU64" s="704">
        <v>117.77251099999999</v>
      </c>
      <c r="IV64" s="704">
        <v>4336.5063829999999</v>
      </c>
      <c r="IW64" s="703">
        <v>158.29849005911063</v>
      </c>
      <c r="IX64" s="704">
        <v>585.84592462233786</v>
      </c>
      <c r="IY64" s="704">
        <v>522.39856167777793</v>
      </c>
      <c r="IZ64" s="704">
        <v>226.74357840645121</v>
      </c>
      <c r="JA64" s="704">
        <v>107.51983661955664</v>
      </c>
      <c r="JB64" s="173">
        <v>4394.8231387274218</v>
      </c>
      <c r="JC64" s="1137">
        <v>212.70309367704601</v>
      </c>
      <c r="JD64" s="1138">
        <v>542.09167315305206</v>
      </c>
      <c r="JE64" s="1138">
        <v>457.49734777225501</v>
      </c>
      <c r="JF64" s="1138">
        <v>198.652159171482</v>
      </c>
      <c r="JG64" s="1138">
        <v>133.46032826103001</v>
      </c>
      <c r="JH64" s="1139">
        <v>4164.10918225756</v>
      </c>
      <c r="JJ64" s="565" t="s">
        <v>586</v>
      </c>
      <c r="JK64" s="172">
        <v>1.842438</v>
      </c>
      <c r="JL64" s="337">
        <v>23.535754999999881</v>
      </c>
      <c r="JM64" s="337">
        <v>1571.609956</v>
      </c>
      <c r="JN64" s="173">
        <v>2.7636569999999998</v>
      </c>
      <c r="JO64" s="703">
        <v>8.80646601422964</v>
      </c>
      <c r="JP64" s="704">
        <v>90.154632938187888</v>
      </c>
      <c r="JQ64" s="704">
        <v>1496.6135663062105</v>
      </c>
      <c r="JR64" s="173">
        <v>5.2317261266064996</v>
      </c>
      <c r="JS64" s="1137">
        <v>10.7518414229692</v>
      </c>
      <c r="JT64" s="1138">
        <v>122.00151229332005</v>
      </c>
      <c r="JU64" s="1138">
        <v>1407.50889691626</v>
      </c>
      <c r="JV64" s="1139">
        <v>4.1423514023145698</v>
      </c>
      <c r="JX64" s="565" t="s">
        <v>586</v>
      </c>
      <c r="JY64" s="703">
        <v>150.94490254153899</v>
      </c>
      <c r="JZ64" s="704">
        <v>427.600171174129</v>
      </c>
      <c r="KA64" s="704">
        <v>299.91677989498601</v>
      </c>
      <c r="KB64" s="173">
        <v>665.942748424211</v>
      </c>
      <c r="KC64" s="603"/>
      <c r="KD64" s="565" t="s">
        <v>586</v>
      </c>
      <c r="KE64" s="703">
        <v>15.014772237262999</v>
      </c>
      <c r="KF64" s="704">
        <v>15.0238493486646</v>
      </c>
      <c r="KG64" s="704">
        <v>312.15477169251199</v>
      </c>
      <c r="KH64" s="704">
        <v>1095.4491582762</v>
      </c>
      <c r="KI64" s="704">
        <v>50.408967154135098</v>
      </c>
      <c r="KJ64" s="173">
        <v>5.5192465596948201</v>
      </c>
      <c r="KK64" s="703">
        <v>0</v>
      </c>
      <c r="KL64" s="704">
        <v>0</v>
      </c>
      <c r="KM64" s="704">
        <v>0</v>
      </c>
      <c r="KN64" s="704">
        <v>0</v>
      </c>
      <c r="KO64" s="704">
        <v>0</v>
      </c>
      <c r="KP64" s="173">
        <v>0</v>
      </c>
      <c r="KQ64" s="703">
        <v>15.014772237262999</v>
      </c>
      <c r="KR64" s="704">
        <v>15.0238493486646</v>
      </c>
      <c r="KS64" s="704">
        <v>315.67545609071402</v>
      </c>
      <c r="KT64" s="704">
        <v>1097.4886144176601</v>
      </c>
      <c r="KU64" s="704">
        <v>50.408967154135098</v>
      </c>
      <c r="KV64" s="173">
        <v>9.18594035779366</v>
      </c>
      <c r="KW64" s="429"/>
      <c r="KX64" s="565" t="s">
        <v>586</v>
      </c>
      <c r="KY64" s="172">
        <f t="shared" si="35"/>
        <v>706.64082500000018</v>
      </c>
      <c r="KZ64" s="337">
        <v>722.79490599999997</v>
      </c>
      <c r="LA64" s="173">
        <v>170.31607600000001</v>
      </c>
      <c r="LB64" s="172">
        <f t="shared" si="36"/>
        <v>762.33138713169649</v>
      </c>
      <c r="LC64" s="704">
        <v>713.40135554104256</v>
      </c>
      <c r="LD64" s="173">
        <v>125.07364871249521</v>
      </c>
      <c r="LE64" s="172">
        <f t="shared" si="37"/>
        <v>756.14061875900563</v>
      </c>
      <c r="LF64" s="1138">
        <v>715.65664611519696</v>
      </c>
      <c r="LG64" s="1139">
        <v>72.607337160657494</v>
      </c>
      <c r="LH64" s="426"/>
      <c r="LI64" s="565" t="s">
        <v>586</v>
      </c>
      <c r="LJ64" s="172">
        <v>1621.9163679999999</v>
      </c>
      <c r="LK64" s="337">
        <v>1139.962859</v>
      </c>
      <c r="LL64" s="337">
        <v>481.953509</v>
      </c>
      <c r="LM64" s="337">
        <v>184.994416</v>
      </c>
      <c r="LN64" s="337">
        <v>140.71416400000001</v>
      </c>
      <c r="LO64" s="173">
        <v>277.317612</v>
      </c>
      <c r="LP64" s="703">
        <v>1414.4403861939006</v>
      </c>
      <c r="LQ64" s="704">
        <v>888.69016372658029</v>
      </c>
      <c r="LR64" s="704">
        <v>525.75022246732021</v>
      </c>
      <c r="LS64" s="704">
        <v>133.31061530848379</v>
      </c>
      <c r="LT64" s="704">
        <v>167.77324980738527</v>
      </c>
      <c r="LU64" s="173">
        <v>295.55654227669714</v>
      </c>
      <c r="LV64" s="1137">
        <v>1197.3216262732601</v>
      </c>
      <c r="LW64" s="1138">
        <v>812.95948102912405</v>
      </c>
      <c r="LX64" s="1138">
        <v>384.36214524413498</v>
      </c>
      <c r="LY64" s="1138">
        <v>168.37806584115901</v>
      </c>
      <c r="LZ64" s="1138">
        <v>108.171221785418</v>
      </c>
      <c r="MA64" s="1139">
        <v>362.14742537080002</v>
      </c>
      <c r="MC64" s="565" t="s">
        <v>586</v>
      </c>
      <c r="MD64" s="172">
        <v>0</v>
      </c>
      <c r="ME64" s="337">
        <v>21.242892999999999</v>
      </c>
      <c r="MF64" s="337">
        <v>12.470549999999999</v>
      </c>
      <c r="MG64" s="337">
        <v>121.037841</v>
      </c>
      <c r="MH64" s="337">
        <v>469.46678400000002</v>
      </c>
      <c r="MI64" s="173">
        <v>515.74479099999996</v>
      </c>
      <c r="MJ64" s="703">
        <v>0</v>
      </c>
      <c r="MK64" s="704">
        <v>16.91046716569684</v>
      </c>
      <c r="ML64" s="704">
        <v>18.54835318059596</v>
      </c>
      <c r="MM64" s="704">
        <v>94.705437482270042</v>
      </c>
      <c r="MN64" s="704">
        <v>401.06036067709016</v>
      </c>
      <c r="MO64" s="173">
        <v>357.46554522092737</v>
      </c>
      <c r="MP64" s="1137">
        <v>3.6666937980988399</v>
      </c>
      <c r="MQ64" s="1138">
        <v>31.6794307666053</v>
      </c>
      <c r="MR64" s="1138">
        <v>29.3205556905531</v>
      </c>
      <c r="MS64" s="1138">
        <v>115.81372449230599</v>
      </c>
      <c r="MT64" s="1138">
        <v>321.88053527363201</v>
      </c>
      <c r="MU64" s="1139">
        <v>310.59854100792899</v>
      </c>
      <c r="MW64" s="565" t="s">
        <v>586</v>
      </c>
      <c r="MX64" s="172">
        <v>1145.155139</v>
      </c>
      <c r="MY64" s="337">
        <v>1104.1656929999999</v>
      </c>
      <c r="MZ64" s="337">
        <v>40.989446000000001</v>
      </c>
      <c r="NA64" s="703">
        <v>899.82041561893243</v>
      </c>
      <c r="NB64" s="704">
        <v>877.24251811496981</v>
      </c>
      <c r="NC64" s="173">
        <v>22.577897503962578</v>
      </c>
      <c r="ND64" s="1137">
        <v>818.56644453779904</v>
      </c>
      <c r="NE64" s="1138">
        <v>789.78593385641</v>
      </c>
      <c r="NF64" s="1139">
        <v>28.780510681389298</v>
      </c>
      <c r="NH64" s="565" t="s">
        <v>586</v>
      </c>
      <c r="NI64" s="703">
        <v>667.25069585789538</v>
      </c>
      <c r="NJ64" s="173">
        <v>209.99182225707446</v>
      </c>
      <c r="NK64" s="703">
        <v>15.91003386492573</v>
      </c>
      <c r="NL64" s="704">
        <v>4.5751731883942499</v>
      </c>
      <c r="NM64" s="173">
        <v>2.0926904506425998</v>
      </c>
      <c r="NN64" s="1137">
        <v>548.73252463648896</v>
      </c>
      <c r="NO64" s="1139">
        <v>241.0534092199205</v>
      </c>
      <c r="NP64" s="1137">
        <v>26.700160559957499</v>
      </c>
      <c r="NQ64" s="1138">
        <v>2.0803501214317999</v>
      </c>
      <c r="NR64" s="1139">
        <v>0</v>
      </c>
      <c r="NS64" s="136"/>
      <c r="NT64" s="565" t="s">
        <v>586</v>
      </c>
      <c r="NU64" s="703">
        <v>80.32335897277477</v>
      </c>
      <c r="NV64" s="704">
        <v>72.455848755043164</v>
      </c>
      <c r="NW64" s="704">
        <v>13.381639202623891</v>
      </c>
      <c r="NX64" s="173">
        <v>43.830975326632618</v>
      </c>
      <c r="NY64" s="1137">
        <v>159.93026900161399</v>
      </c>
      <c r="NZ64" s="1138">
        <v>45.971580712680598</v>
      </c>
      <c r="OA64" s="1138">
        <v>2.0803501214317999</v>
      </c>
      <c r="OB64" s="1139">
        <v>33.071209384194098</v>
      </c>
      <c r="OC64" s="553"/>
      <c r="OD64" s="565" t="s">
        <v>586</v>
      </c>
      <c r="OE64" s="703">
        <v>151.56432915131299</v>
      </c>
      <c r="OF64" s="704">
        <v>174.98857170193</v>
      </c>
      <c r="OG64" s="704">
        <v>144.39184132461301</v>
      </c>
      <c r="OH64" s="704">
        <v>97.055885810042895</v>
      </c>
      <c r="OI64" s="704">
        <v>121.926417958735</v>
      </c>
      <c r="OJ64" s="704">
        <v>18.446596783180301</v>
      </c>
      <c r="OK64" s="173">
        <v>51.817749920243003</v>
      </c>
      <c r="OL64" s="703">
        <v>211.35443802905101</v>
      </c>
      <c r="OM64" s="704">
        <v>176.02874676264599</v>
      </c>
      <c r="ON64" s="704">
        <v>146.472191446045</v>
      </c>
      <c r="OO64" s="704">
        <v>100.576570208245</v>
      </c>
      <c r="OP64" s="704">
        <v>267.931483762646</v>
      </c>
      <c r="OQ64" s="704">
        <v>180.71319310113901</v>
      </c>
      <c r="OR64" s="173">
        <v>1676.5433662912101</v>
      </c>
      <c r="OT64" s="565" t="s">
        <v>586</v>
      </c>
      <c r="OU64" s="172">
        <v>979.64455400000008</v>
      </c>
      <c r="OV64" s="337">
        <v>614.47806400000002</v>
      </c>
      <c r="OW64" s="337">
        <v>349.85272500000002</v>
      </c>
      <c r="OX64" s="173">
        <v>254.80312400000003</v>
      </c>
      <c r="OY64" s="703">
        <v>858.29994749673517</v>
      </c>
      <c r="OZ64" s="704">
        <v>592.50494359815912</v>
      </c>
      <c r="PA64" s="704">
        <v>357.8663950797511</v>
      </c>
      <c r="PB64" s="173">
        <v>233.38786625366305</v>
      </c>
      <c r="PC64" s="1137">
        <v>734.17057299556393</v>
      </c>
      <c r="PD64" s="1138">
        <v>522.98918990684297</v>
      </c>
      <c r="PE64" s="1138">
        <v>374.47759356694701</v>
      </c>
      <c r="PF64" s="1139">
        <v>304.88060642168443</v>
      </c>
      <c r="PH64" s="565" t="s">
        <v>586</v>
      </c>
      <c r="PI64" s="703">
        <v>321.99091940630882</v>
      </c>
      <c r="PJ64" s="704">
        <v>261.49924642538701</v>
      </c>
      <c r="PK64" s="704">
        <v>183.98978973195599</v>
      </c>
      <c r="PL64" s="173">
        <v>161.51552021219482</v>
      </c>
      <c r="PM64" s="703">
        <v>412.17965358925494</v>
      </c>
      <c r="PN64" s="704">
        <v>261.48994348145499</v>
      </c>
      <c r="PO64" s="704">
        <v>190.48780383499201</v>
      </c>
      <c r="PP64" s="173">
        <v>143.36508620948928</v>
      </c>
      <c r="PQ64" s="65"/>
      <c r="PR64" s="565" t="s">
        <v>586</v>
      </c>
      <c r="PS64" s="1038">
        <v>12.338347586792599</v>
      </c>
      <c r="PT64" s="1039">
        <v>28.6840522441335</v>
      </c>
      <c r="PU64" s="1039">
        <v>42.891700422845098</v>
      </c>
      <c r="PV64" s="1039">
        <v>24.556313857185</v>
      </c>
      <c r="PW64" s="1039">
        <v>390.88967281250098</v>
      </c>
      <c r="PX64" s="1040">
        <v>319.20635761434198</v>
      </c>
      <c r="PZ64" s="565" t="s">
        <v>586</v>
      </c>
      <c r="QA64" s="1038">
        <v>523.20227438015002</v>
      </c>
      <c r="QB64" s="1039">
        <v>295.36417015764999</v>
      </c>
      <c r="QC64" s="1039">
        <v>249.72697831398301</v>
      </c>
      <c r="QD64" s="1039">
        <v>18.243437835670498</v>
      </c>
      <c r="QE64" s="1039">
        <v>27.3937540079956</v>
      </c>
      <c r="QF64" s="1040">
        <v>0</v>
      </c>
    </row>
    <row r="65" spans="1:448" ht="13.5" customHeight="1">
      <c r="A65" s="596" t="s">
        <v>530</v>
      </c>
      <c r="B65" s="1101" t="s">
        <v>587</v>
      </c>
      <c r="C65" s="1104">
        <v>1618.000857</v>
      </c>
      <c r="D65" s="692">
        <v>2404.6444275841031</v>
      </c>
      <c r="E65" s="693">
        <v>3082.5671470929901</v>
      </c>
      <c r="F65" s="428"/>
      <c r="G65" s="565" t="s">
        <v>587</v>
      </c>
      <c r="H65" s="613">
        <f t="shared" si="5"/>
        <v>8.2466398139762864E-2</v>
      </c>
      <c r="I65" s="671">
        <f t="shared" si="6"/>
        <v>5.0926481800097845E-2</v>
      </c>
      <c r="J65" s="685"/>
      <c r="K65" s="63"/>
      <c r="L65" s="564" t="s">
        <v>587</v>
      </c>
      <c r="M65" s="638">
        <v>30</v>
      </c>
      <c r="N65" s="639">
        <v>32</v>
      </c>
      <c r="O65" s="639">
        <v>32</v>
      </c>
      <c r="P65" s="639">
        <v>33</v>
      </c>
      <c r="Q65" s="639">
        <v>37</v>
      </c>
      <c r="R65" s="639">
        <v>34</v>
      </c>
      <c r="S65" s="639">
        <v>38</v>
      </c>
      <c r="T65" s="639">
        <v>36</v>
      </c>
      <c r="U65" s="1141">
        <v>36</v>
      </c>
      <c r="V65" s="1141">
        <v>31</v>
      </c>
      <c r="W65" s="1142">
        <v>41</v>
      </c>
      <c r="X65" s="565" t="s">
        <v>587</v>
      </c>
      <c r="Y65" s="666">
        <v>31</v>
      </c>
      <c r="Z65" s="667">
        <v>32.5</v>
      </c>
      <c r="AA65" s="667">
        <v>35.5</v>
      </c>
      <c r="AB65" s="667">
        <v>37</v>
      </c>
      <c r="AC65" s="667">
        <v>37</v>
      </c>
      <c r="AD65" s="668">
        <v>4.8387096774193547E-2</v>
      </c>
      <c r="AE65" s="668">
        <v>9.2307692307692313E-2</v>
      </c>
      <c r="AF65" s="668">
        <v>4.2253521126760563E-2</v>
      </c>
      <c r="AG65" s="1213">
        <v>9.2307692307692313E-2</v>
      </c>
      <c r="AN65" s="565" t="s">
        <v>587</v>
      </c>
      <c r="AO65" s="638">
        <v>0</v>
      </c>
      <c r="AP65" s="639">
        <v>19.906044000000001</v>
      </c>
      <c r="AQ65" s="639">
        <v>176.87150500000001</v>
      </c>
      <c r="AR65" s="639">
        <v>291.47725800000001</v>
      </c>
      <c r="AS65" s="639">
        <v>226.931996</v>
      </c>
      <c r="AT65" s="639">
        <v>92.21893</v>
      </c>
      <c r="AU65" s="639">
        <v>62.944704999999999</v>
      </c>
      <c r="AV65" s="618">
        <v>591.49487399999998</v>
      </c>
      <c r="AW65" s="638">
        <v>1.08769052788021</v>
      </c>
      <c r="AX65" s="639">
        <v>39.63695601122064</v>
      </c>
      <c r="AY65" s="639">
        <v>301.73051985620646</v>
      </c>
      <c r="AZ65" s="639">
        <v>420.01709330198327</v>
      </c>
      <c r="BA65" s="639">
        <v>378.30023292527522</v>
      </c>
      <c r="BB65" s="639">
        <v>192.52950983908289</v>
      </c>
      <c r="BC65" s="639">
        <v>129.15974101607335</v>
      </c>
      <c r="BD65" s="618">
        <v>651.46477864039605</v>
      </c>
      <c r="BE65" s="1140">
        <v>1.0000010153850201</v>
      </c>
      <c r="BF65" s="1141">
        <v>75.413882890950603</v>
      </c>
      <c r="BG65" s="1141">
        <v>386.78528856093902</v>
      </c>
      <c r="BH65" s="1141">
        <v>546.00306671644603</v>
      </c>
      <c r="BI65" s="1141">
        <v>504.83814194780803</v>
      </c>
      <c r="BJ65" s="1141">
        <v>273.94049014391697</v>
      </c>
      <c r="BK65" s="1141">
        <v>228.812617014295</v>
      </c>
      <c r="BL65" s="1142">
        <v>644.56403017563002</v>
      </c>
      <c r="BN65" s="565" t="s">
        <v>587</v>
      </c>
      <c r="BO65" s="649">
        <v>156.15554599999999</v>
      </c>
      <c r="BP65" s="650">
        <v>1064.75134</v>
      </c>
      <c r="BQ65" s="650">
        <v>229.125473</v>
      </c>
      <c r="BR65" s="650">
        <v>93.772029000000003</v>
      </c>
      <c r="BS65" s="650">
        <v>49.973753000000002</v>
      </c>
      <c r="BT65" s="618">
        <v>24.222715999999998</v>
      </c>
      <c r="BU65" s="649">
        <v>290.71790546598498</v>
      </c>
      <c r="BV65" s="650">
        <v>1244.9605187196278</v>
      </c>
      <c r="BW65" s="650">
        <v>476.00919401058479</v>
      </c>
      <c r="BX65" s="650">
        <v>244.13293136894541</v>
      </c>
      <c r="BY65" s="650">
        <v>107.83814136003042</v>
      </c>
      <c r="BZ65" s="618">
        <v>40.985736658929902</v>
      </c>
      <c r="CA65" s="1140">
        <v>421.20962862762099</v>
      </c>
      <c r="CB65" s="1141">
        <v>1341.27646181408</v>
      </c>
      <c r="CC65" s="1141">
        <v>715.43296635022205</v>
      </c>
      <c r="CD65" s="1141">
        <v>349.86199113418797</v>
      </c>
      <c r="CE65" s="1141">
        <v>188.08655934663301</v>
      </c>
      <c r="CF65" s="1142">
        <v>66.699539820244794</v>
      </c>
      <c r="CG65" s="429"/>
      <c r="CH65" s="565" t="s">
        <v>587</v>
      </c>
      <c r="CI65" s="172">
        <v>346.21761800000002</v>
      </c>
      <c r="CJ65" s="337">
        <v>1219.5681569999999</v>
      </c>
      <c r="CK65" s="337">
        <v>52.215082000000002</v>
      </c>
      <c r="CL65" s="647">
        <v>498.50884274404473</v>
      </c>
      <c r="CM65" s="648">
        <v>1804.7580569591421</v>
      </c>
      <c r="CN65" s="648">
        <v>101.37752788091626</v>
      </c>
      <c r="CO65" s="1137">
        <v>687.46614387991303</v>
      </c>
      <c r="CP65" s="1138">
        <v>2222.4321888161599</v>
      </c>
      <c r="CQ65" s="1139">
        <v>172.66881439691701</v>
      </c>
      <c r="CR65" s="429"/>
      <c r="DB65" s="139"/>
      <c r="DC65" s="139"/>
      <c r="DD65" s="139"/>
      <c r="DE65" s="139"/>
      <c r="DG65" s="565" t="s">
        <v>587</v>
      </c>
      <c r="DH65" s="1147" t="s">
        <v>776</v>
      </c>
      <c r="DI65" s="1150" t="s">
        <v>886</v>
      </c>
      <c r="DJ65" s="704" t="s">
        <v>1006</v>
      </c>
      <c r="DK65" s="704" t="s">
        <v>1007</v>
      </c>
      <c r="DL65" s="337" t="s">
        <v>1008</v>
      </c>
      <c r="DM65" s="174" t="s">
        <v>869</v>
      </c>
      <c r="DO65" s="564" t="s">
        <v>587</v>
      </c>
      <c r="DP65" s="706">
        <v>1093.853977</v>
      </c>
      <c r="DQ65" s="617">
        <v>1456.1385863605867</v>
      </c>
      <c r="DR65" s="1142">
        <v>1887.1938765545101</v>
      </c>
      <c r="DS65" s="63"/>
      <c r="DT65" s="565" t="s">
        <v>587</v>
      </c>
      <c r="DU65" s="705">
        <v>1565.0009219999999</v>
      </c>
      <c r="DV65" s="706">
        <v>2301.6445080799144</v>
      </c>
      <c r="DW65" s="1142">
        <v>3027.5670912468199</v>
      </c>
      <c r="DX65" s="63"/>
      <c r="DY65" s="565" t="s">
        <v>587</v>
      </c>
      <c r="DZ65" s="1091">
        <f t="shared" si="32"/>
        <v>1.4307219746937025</v>
      </c>
      <c r="EA65" s="793">
        <f t="shared" si="33"/>
        <v>1.5806493486533797</v>
      </c>
      <c r="EB65" s="794">
        <f t="shared" si="34"/>
        <v>1.6042692427416696</v>
      </c>
      <c r="ED65" s="541"/>
      <c r="EE65" s="565" t="s">
        <v>587</v>
      </c>
      <c r="EF65" s="1186">
        <v>764.32437400000003</v>
      </c>
      <c r="EG65" s="1163">
        <v>49.258856000000002</v>
      </c>
      <c r="EH65" s="1163">
        <v>182.05340100000001</v>
      </c>
      <c r="EI65" s="1163">
        <v>68.264111999999997</v>
      </c>
      <c r="EJ65" s="1163">
        <v>29.953233000000001</v>
      </c>
      <c r="EK65" s="709">
        <v>913.60723592620195</v>
      </c>
      <c r="EL65" s="710">
        <v>41.082809762002142</v>
      </c>
      <c r="EM65" s="710">
        <v>250.66011428326939</v>
      </c>
      <c r="EN65" s="710">
        <v>146.96970680174758</v>
      </c>
      <c r="EO65" s="710">
        <v>103.81871958736562</v>
      </c>
      <c r="EP65" s="1164">
        <v>1146.8441920329701</v>
      </c>
      <c r="EQ65" s="1165">
        <v>56.078385832438798</v>
      </c>
      <c r="ER65" s="1165">
        <v>306.78027312729699</v>
      </c>
      <c r="ES65" s="1165">
        <v>199.67223092420801</v>
      </c>
      <c r="ET65" s="1166">
        <v>177.818794637601</v>
      </c>
      <c r="EV65" s="565" t="s">
        <v>587</v>
      </c>
      <c r="EW65" s="709">
        <v>538.74649999999997</v>
      </c>
      <c r="EX65" s="710">
        <v>176.54576800000001</v>
      </c>
      <c r="EY65" s="710">
        <v>45.642930999999997</v>
      </c>
      <c r="EZ65" s="710">
        <v>3.3891749999999998</v>
      </c>
      <c r="FA65" s="709">
        <v>776.38733100000002</v>
      </c>
      <c r="FB65" s="710">
        <v>560.72337100000004</v>
      </c>
      <c r="FC65" s="710">
        <v>84.052507000000006</v>
      </c>
      <c r="FD65" s="710">
        <v>14.682133</v>
      </c>
      <c r="FE65" s="709">
        <v>504.7363885271277</v>
      </c>
      <c r="FF65" s="710">
        <v>349.43072082227764</v>
      </c>
      <c r="FG65" s="710">
        <v>49.832761083568585</v>
      </c>
      <c r="FH65" s="627">
        <v>9.6073654932280999</v>
      </c>
      <c r="FI65" s="709">
        <v>830.01372668517081</v>
      </c>
      <c r="FJ65" s="710">
        <v>1004.859054972415</v>
      </c>
      <c r="FK65" s="1187">
        <v>182.45455051261069</v>
      </c>
      <c r="FL65" s="1188">
        <v>27.59924387229999</v>
      </c>
      <c r="FM65" s="1164">
        <v>467.72888890165899</v>
      </c>
      <c r="FN65" s="1165">
        <v>532.00317615642803</v>
      </c>
      <c r="FO65" s="1165">
        <v>138.38226659206299</v>
      </c>
      <c r="FP65" s="1166">
        <v>8.7298603828182699</v>
      </c>
      <c r="FQ65" s="1164">
        <v>843.276791983252</v>
      </c>
      <c r="FR65" s="1165">
        <v>1450.53082433342</v>
      </c>
      <c r="FS65" s="1165">
        <v>311.78832576022302</v>
      </c>
      <c r="FT65" s="1166">
        <v>28.761548973082601</v>
      </c>
      <c r="FV65" s="564" t="s">
        <v>587</v>
      </c>
      <c r="FW65" s="710">
        <v>184.12724</v>
      </c>
      <c r="FX65" s="710">
        <v>56.216925000000003</v>
      </c>
      <c r="FY65" s="710">
        <v>22.053723999999999</v>
      </c>
      <c r="FZ65" s="627">
        <v>17.872858000000001</v>
      </c>
      <c r="GA65" s="709">
        <v>265.04013964947865</v>
      </c>
      <c r="GB65" s="710">
        <v>134.30642813145795</v>
      </c>
      <c r="GC65" s="710">
        <v>77.510835012854486</v>
      </c>
      <c r="GD65" s="627">
        <v>24.591137878591489</v>
      </c>
      <c r="GE65" s="1164">
        <v>332.032127562965</v>
      </c>
      <c r="GF65" s="1165">
        <v>201.93199600629501</v>
      </c>
      <c r="GG65" s="1165">
        <v>114.828703473705</v>
      </c>
      <c r="GH65" s="1166">
        <v>35.478471646141102</v>
      </c>
      <c r="GJ65" s="565" t="s">
        <v>587</v>
      </c>
      <c r="GK65" s="709">
        <v>1237.9986650000001</v>
      </c>
      <c r="GL65" s="710">
        <v>1723.524911153932</v>
      </c>
      <c r="GM65" s="1166">
        <v>2151.8534520626199</v>
      </c>
      <c r="GO65" s="565" t="s">
        <v>587</v>
      </c>
      <c r="GP65" s="709">
        <v>1093.853977</v>
      </c>
      <c r="GQ65" s="710">
        <v>42.674734000000001</v>
      </c>
      <c r="GR65" s="627">
        <v>101.469954</v>
      </c>
      <c r="GS65" s="709">
        <v>1456.1385863605867</v>
      </c>
      <c r="GT65" s="710">
        <v>121.34960259892244</v>
      </c>
      <c r="GU65" s="627">
        <v>146.03672219442288</v>
      </c>
      <c r="GV65" s="1164">
        <v>1887.1938765545101</v>
      </c>
      <c r="GW65" s="1165">
        <v>156.145619299201</v>
      </c>
      <c r="GX65" s="1166">
        <v>108.513956208907</v>
      </c>
      <c r="GZ65" s="565" t="s">
        <v>587</v>
      </c>
      <c r="HA65" s="709">
        <v>77.337192999999999</v>
      </c>
      <c r="HB65" s="710">
        <v>1138.886166</v>
      </c>
      <c r="HC65" s="627">
        <f t="shared" si="7"/>
        <v>21.775306</v>
      </c>
      <c r="HD65" s="709">
        <v>103.78497376524416</v>
      </c>
      <c r="HE65" s="710">
        <v>1553.3907981871018</v>
      </c>
      <c r="HF65" s="627">
        <f t="shared" si="8"/>
        <v>66.349139201586013</v>
      </c>
      <c r="HG65" s="743">
        <v>95.102722062993493</v>
      </c>
      <c r="HH65" s="1165">
        <v>1999.7967687943899</v>
      </c>
      <c r="HI65" s="627">
        <f t="shared" si="9"/>
        <v>56.953961205236737</v>
      </c>
      <c r="HK65" s="565" t="s">
        <v>587</v>
      </c>
      <c r="HL65" s="709">
        <v>1093.853977</v>
      </c>
      <c r="HM65" s="710">
        <v>2223.823378</v>
      </c>
      <c r="HN65" s="1189">
        <f t="shared" si="10"/>
        <v>2.0330166775085008</v>
      </c>
      <c r="HO65" s="709">
        <v>1456.1385863605867</v>
      </c>
      <c r="HP65" s="710">
        <v>3501.311052439431</v>
      </c>
      <c r="HQ65" s="1189">
        <f t="shared" si="11"/>
        <v>2.4045177328831486</v>
      </c>
      <c r="HR65" s="1165">
        <v>1887.1938765545101</v>
      </c>
      <c r="HS65" s="1165">
        <v>4904.6893343416104</v>
      </c>
      <c r="HT65" s="1190">
        <f t="shared" si="12"/>
        <v>2.5989324124430744</v>
      </c>
      <c r="HV65" s="564" t="s">
        <v>587</v>
      </c>
      <c r="HW65" s="709">
        <v>60.805539000000003</v>
      </c>
      <c r="HX65" s="710">
        <v>227.38553899999999</v>
      </c>
      <c r="HY65" s="1191">
        <f t="shared" si="13"/>
        <v>3.7395530528888163</v>
      </c>
      <c r="HZ65" s="710">
        <v>1011.273131</v>
      </c>
      <c r="IA65" s="710">
        <v>1965.3302570000001</v>
      </c>
      <c r="IB65" s="1191">
        <f t="shared" si="14"/>
        <v>1.9434218083660328</v>
      </c>
      <c r="IC65" s="709">
        <v>86.860917737032295</v>
      </c>
      <c r="ID65" s="710">
        <v>336.45978246020701</v>
      </c>
      <c r="IE65" s="1191">
        <f t="shared" si="15"/>
        <v>3.8735462533198715</v>
      </c>
      <c r="IF65" s="710">
        <v>1324.6823569804658</v>
      </c>
      <c r="IG65" s="710">
        <v>3114.8175056967343</v>
      </c>
      <c r="IH65" s="1191">
        <f t="shared" si="16"/>
        <v>2.3513693598190395</v>
      </c>
      <c r="II65" s="1164">
        <v>91.362586363558194</v>
      </c>
      <c r="IJ65" s="1165">
        <v>375.14887686272402</v>
      </c>
      <c r="IK65" s="1192">
        <f t="shared" si="17"/>
        <v>4.1061543000752847</v>
      </c>
      <c r="IL65" s="1165">
        <v>1747.9865099507199</v>
      </c>
      <c r="IM65" s="1165">
        <v>4456.0239227128804</v>
      </c>
      <c r="IN65" s="1193">
        <f t="shared" si="18"/>
        <v>2.5492324439268739</v>
      </c>
      <c r="IP65" s="565" t="s">
        <v>587</v>
      </c>
      <c r="IQ65" s="709">
        <v>448.36622699999998</v>
      </c>
      <c r="IR65" s="710">
        <v>327.82144599999998</v>
      </c>
      <c r="IS65" s="710">
        <v>214.348266</v>
      </c>
      <c r="IT65" s="710">
        <v>75.075985000000003</v>
      </c>
      <c r="IU65" s="710">
        <v>28.242052000000001</v>
      </c>
      <c r="IV65" s="710">
        <v>2223.823378</v>
      </c>
      <c r="IW65" s="709">
        <v>361.53515301769011</v>
      </c>
      <c r="IX65" s="710">
        <v>453.15949648233828</v>
      </c>
      <c r="IY65" s="710">
        <v>405.99819821817931</v>
      </c>
      <c r="IZ65" s="710">
        <v>182.0745166484528</v>
      </c>
      <c r="JA65" s="710">
        <v>53.37122199392627</v>
      </c>
      <c r="JB65" s="627">
        <v>3501.311052439431</v>
      </c>
      <c r="JC65" s="1164">
        <v>281.590560573716</v>
      </c>
      <c r="JD65" s="1165">
        <v>619.46857385184296</v>
      </c>
      <c r="JE65" s="1165">
        <v>652.449132953858</v>
      </c>
      <c r="JF65" s="1165">
        <v>260.511418370218</v>
      </c>
      <c r="JG65" s="1165">
        <v>73.174190804877298</v>
      </c>
      <c r="JH65" s="1166">
        <v>4904.6893343416104</v>
      </c>
      <c r="JJ65" s="565" t="s">
        <v>587</v>
      </c>
      <c r="JK65" s="709">
        <v>63.479056999999997</v>
      </c>
      <c r="JL65" s="710">
        <v>937.59235200000001</v>
      </c>
      <c r="JM65" s="710">
        <v>80.438232999999997</v>
      </c>
      <c r="JN65" s="627">
        <v>12.344334999999999</v>
      </c>
      <c r="JO65" s="709">
        <v>156.76192502513675</v>
      </c>
      <c r="JP65" s="710">
        <v>1035.2243752290574</v>
      </c>
      <c r="JQ65" s="710">
        <v>233.00765025581879</v>
      </c>
      <c r="JR65" s="627">
        <v>31.144635850573891</v>
      </c>
      <c r="JS65" s="1164">
        <v>315.48108462094598</v>
      </c>
      <c r="JT65" s="1165">
        <v>1137.017695168403</v>
      </c>
      <c r="JU65" s="1165">
        <v>400.48856263673702</v>
      </c>
      <c r="JV65" s="1166">
        <v>34.206534128422703</v>
      </c>
      <c r="JX65" s="565" t="s">
        <v>587</v>
      </c>
      <c r="JY65" s="709">
        <v>633.32817977770696</v>
      </c>
      <c r="JZ65" s="710">
        <v>758.72348183489203</v>
      </c>
      <c r="KA65" s="710">
        <v>339.02933185982602</v>
      </c>
      <c r="KB65" s="627">
        <v>156.112883082087</v>
      </c>
      <c r="KC65" s="603"/>
      <c r="KD65" s="565" t="s">
        <v>587</v>
      </c>
      <c r="KE65" s="709">
        <v>7.6353896095895504</v>
      </c>
      <c r="KF65" s="710">
        <v>3.7497824128172899</v>
      </c>
      <c r="KG65" s="710">
        <v>3.7401394971131401</v>
      </c>
      <c r="KH65" s="710">
        <v>65.026221338350794</v>
      </c>
      <c r="KI65" s="710">
        <v>839.72940183312801</v>
      </c>
      <c r="KJ65" s="627">
        <v>822.58051338470102</v>
      </c>
      <c r="KK65" s="709">
        <v>0</v>
      </c>
      <c r="KL65" s="710">
        <v>3.8952501124764201</v>
      </c>
      <c r="KM65" s="710">
        <v>11.8909820577256</v>
      </c>
      <c r="KN65" s="710">
        <v>7.6353896095895504</v>
      </c>
      <c r="KO65" s="710">
        <v>59.918582637491497</v>
      </c>
      <c r="KP65" s="627">
        <v>8.0223819462750896</v>
      </c>
      <c r="KQ65" s="709">
        <v>7.6353896095895504</v>
      </c>
      <c r="KR65" s="710">
        <v>7.6450325252937104</v>
      </c>
      <c r="KS65" s="710">
        <v>15.6311215548387</v>
      </c>
      <c r="KT65" s="710">
        <v>80.401098440468104</v>
      </c>
      <c r="KU65" s="710">
        <v>928.23905735222195</v>
      </c>
      <c r="KV65" s="627">
        <v>842.11711519708194</v>
      </c>
      <c r="KW65" s="429"/>
      <c r="KX65" s="565" t="s">
        <v>587</v>
      </c>
      <c r="KY65" s="709">
        <f t="shared" si="35"/>
        <v>340.8150149999999</v>
      </c>
      <c r="KZ65" s="710">
        <v>568.36968100000001</v>
      </c>
      <c r="LA65" s="627">
        <v>184.66928100000001</v>
      </c>
      <c r="LB65" s="709">
        <f t="shared" si="36"/>
        <v>338.55084797935751</v>
      </c>
      <c r="LC65" s="710">
        <v>863.40219833413471</v>
      </c>
      <c r="LD65" s="627">
        <v>254.18554004709458</v>
      </c>
      <c r="LE65" s="709">
        <f t="shared" si="37"/>
        <v>419.31064980694123</v>
      </c>
      <c r="LF65" s="1165">
        <v>1144.5220938356299</v>
      </c>
      <c r="LG65" s="1166">
        <v>323.36113291193902</v>
      </c>
      <c r="LH65" s="426"/>
      <c r="LI65" s="565" t="s">
        <v>587</v>
      </c>
      <c r="LJ65" s="709">
        <v>806.09039700000005</v>
      </c>
      <c r="LK65" s="710">
        <v>717.84726599999999</v>
      </c>
      <c r="LL65" s="710">
        <v>88.243131000000005</v>
      </c>
      <c r="LM65" s="710">
        <v>547.16142000000002</v>
      </c>
      <c r="LN65" s="710">
        <v>21.981387000000002</v>
      </c>
      <c r="LO65" s="627">
        <v>34.397025999999997</v>
      </c>
      <c r="LP65" s="709">
        <v>1337.9697759103674</v>
      </c>
      <c r="LQ65" s="710">
        <v>1154.7845171625725</v>
      </c>
      <c r="LR65" s="710">
        <v>183.18525874779505</v>
      </c>
      <c r="LS65" s="710">
        <v>513.18057460511307</v>
      </c>
      <c r="LT65" s="710">
        <v>36.166726021000898</v>
      </c>
      <c r="LU65" s="627">
        <v>125.23191770072053</v>
      </c>
      <c r="LV65" s="1164">
        <v>1809.74532989159</v>
      </c>
      <c r="LW65" s="1165">
        <v>1536.5021513700999</v>
      </c>
      <c r="LX65" s="1165">
        <v>273.24317852149198</v>
      </c>
      <c r="LY65" s="1165">
        <v>502.48082168065503</v>
      </c>
      <c r="LZ65" s="1165">
        <v>57.248814992381597</v>
      </c>
      <c r="MA65" s="1166">
        <v>119.213737503826</v>
      </c>
      <c r="MC65" s="565" t="s">
        <v>587</v>
      </c>
      <c r="MD65" s="709">
        <v>0</v>
      </c>
      <c r="ME65" s="710">
        <v>18.869123999999999</v>
      </c>
      <c r="MF65" s="710">
        <v>163.90482700000001</v>
      </c>
      <c r="MG65" s="710">
        <v>259.48337400000003</v>
      </c>
      <c r="MH65" s="710">
        <v>196.73353399999999</v>
      </c>
      <c r="MI65" s="627">
        <v>78.856407000000004</v>
      </c>
      <c r="MJ65" s="709">
        <v>0</v>
      </c>
      <c r="MK65" s="710">
        <v>35.286193899699803</v>
      </c>
      <c r="ML65" s="710">
        <v>287.13762235867051</v>
      </c>
      <c r="MM65" s="710">
        <v>375.11782018430779</v>
      </c>
      <c r="MN65" s="710">
        <v>301.30012743971804</v>
      </c>
      <c r="MO65" s="627">
        <v>155.94275328017622</v>
      </c>
      <c r="MP65" s="1164">
        <v>1.0000010153850201</v>
      </c>
      <c r="MQ65" s="1165">
        <v>71.673743393837498</v>
      </c>
      <c r="MR65" s="1165">
        <v>368.97563721829601</v>
      </c>
      <c r="MS65" s="1165">
        <v>460.22332600774899</v>
      </c>
      <c r="MT65" s="1165">
        <v>401.00177308844098</v>
      </c>
      <c r="MU65" s="1166">
        <v>233.62767064638999</v>
      </c>
      <c r="MW65" s="565" t="s">
        <v>587</v>
      </c>
      <c r="MX65" s="709">
        <v>724.34719900000005</v>
      </c>
      <c r="MY65" s="710">
        <v>689.71970899999997</v>
      </c>
      <c r="MZ65" s="710">
        <v>34.627490000000002</v>
      </c>
      <c r="NA65" s="709">
        <v>1163.1690300484161</v>
      </c>
      <c r="NB65" s="710">
        <v>1092.15471110464</v>
      </c>
      <c r="NC65" s="627">
        <v>71.014318943776175</v>
      </c>
      <c r="ND65" s="1164">
        <v>1537.6071637451</v>
      </c>
      <c r="NE65" s="1165">
        <v>1419.24050934046</v>
      </c>
      <c r="NF65" s="1166">
        <v>118.366654404646</v>
      </c>
      <c r="NH65" s="565" t="s">
        <v>587</v>
      </c>
      <c r="NI65" s="709">
        <v>824.05070222506458</v>
      </c>
      <c r="NJ65" s="627">
        <v>268.10400887957542</v>
      </c>
      <c r="NK65" s="709">
        <v>52.767474974772149</v>
      </c>
      <c r="NL65" s="710">
        <v>18.246843969004019</v>
      </c>
      <c r="NM65" s="627">
        <v>0</v>
      </c>
      <c r="NN65" s="1164">
        <v>1119.2115711474901</v>
      </c>
      <c r="NO65" s="1166">
        <v>300.02893819296827</v>
      </c>
      <c r="NP65" s="1164">
        <v>64.324479238752403</v>
      </c>
      <c r="NQ65" s="1165">
        <v>54.042175165894101</v>
      </c>
      <c r="NR65" s="1166">
        <v>0</v>
      </c>
      <c r="NS65" s="136"/>
      <c r="NT65" s="565" t="s">
        <v>587</v>
      </c>
      <c r="NU65" s="709">
        <v>178.94209976056604</v>
      </c>
      <c r="NV65" s="710">
        <v>15.014795258996269</v>
      </c>
      <c r="NW65" s="710">
        <v>5.4384526394010502</v>
      </c>
      <c r="NX65" s="627">
        <v>68.708661220612044</v>
      </c>
      <c r="NY65" s="1164">
        <v>172.447836641691</v>
      </c>
      <c r="NZ65" s="1165">
        <v>35.704194567351998</v>
      </c>
      <c r="OA65" s="1165">
        <v>3.3643376025545599</v>
      </c>
      <c r="OB65" s="1166">
        <v>88.512569381370696</v>
      </c>
      <c r="OC65" s="553"/>
      <c r="OD65" s="565" t="s">
        <v>587</v>
      </c>
      <c r="OE65" s="709">
        <v>104.060802393887</v>
      </c>
      <c r="OF65" s="710">
        <v>103.903086964515</v>
      </c>
      <c r="OG65" s="710">
        <v>64.443559720949693</v>
      </c>
      <c r="OH65" s="710">
        <v>61.782819137342301</v>
      </c>
      <c r="OI65" s="710">
        <v>576.74026850406301</v>
      </c>
      <c r="OJ65" s="710">
        <v>44.1678070323036</v>
      </c>
      <c r="OK65" s="627">
        <v>52.449664878070003</v>
      </c>
      <c r="OL65" s="709">
        <v>151.12250250136401</v>
      </c>
      <c r="OM65" s="710">
        <v>121.062748384616</v>
      </c>
      <c r="ON65" s="710">
        <v>65.597872573496701</v>
      </c>
      <c r="OO65" s="710">
        <v>62.782820152727403</v>
      </c>
      <c r="OP65" s="710">
        <v>786.49397792283503</v>
      </c>
      <c r="OQ65" s="710">
        <v>491.99966373851998</v>
      </c>
      <c r="OR65" s="627">
        <v>1320.0810566512901</v>
      </c>
      <c r="OT65" s="565" t="s">
        <v>587</v>
      </c>
      <c r="OU65" s="709">
        <v>111.22456700000001</v>
      </c>
      <c r="OV65" s="710">
        <v>138.16644500000001</v>
      </c>
      <c r="OW65" s="710">
        <v>135.47969499999999</v>
      </c>
      <c r="OX65" s="627">
        <v>375.442071</v>
      </c>
      <c r="OY65" s="709">
        <v>226.15377138989703</v>
      </c>
      <c r="OZ65" s="710">
        <v>240.0934087217168</v>
      </c>
      <c r="PA65" s="710">
        <v>223.38439382034787</v>
      </c>
      <c r="PB65" s="627">
        <v>675.54430985459942</v>
      </c>
      <c r="PC65" s="1164">
        <v>258.73863857574122</v>
      </c>
      <c r="PD65" s="1165">
        <v>335.53291592063903</v>
      </c>
      <c r="PE65" s="1165">
        <v>405.57641204060502</v>
      </c>
      <c r="PF65" s="1166">
        <v>926.36899237660509</v>
      </c>
      <c r="PH65" s="565" t="s">
        <v>587</v>
      </c>
      <c r="PI65" s="709">
        <v>146.10982080373381</v>
      </c>
      <c r="PJ65" s="710">
        <v>150.00894530072901</v>
      </c>
      <c r="PK65" s="710">
        <v>205.82426069449701</v>
      </c>
      <c r="PL65" s="627">
        <v>483.17149314163737</v>
      </c>
      <c r="PM65" s="709">
        <v>112.6288177720069</v>
      </c>
      <c r="PN65" s="710">
        <v>185.52397061990999</v>
      </c>
      <c r="PO65" s="710">
        <v>199.75215134610801</v>
      </c>
      <c r="PP65" s="627">
        <v>443.19749923496795</v>
      </c>
      <c r="PQ65" s="65"/>
      <c r="PR65" s="565" t="s">
        <v>587</v>
      </c>
      <c r="PS65" s="1041">
        <v>31.7452407674268</v>
      </c>
      <c r="PT65" s="1042">
        <v>171.94866523792501</v>
      </c>
      <c r="PU65" s="1042">
        <v>68.203483911590396</v>
      </c>
      <c r="PV65" s="1042">
        <v>16.6797667295778</v>
      </c>
      <c r="PW65" s="1042">
        <v>913.38243960009197</v>
      </c>
      <c r="PX65" s="1043">
        <v>335.64756749848999</v>
      </c>
      <c r="PZ65" s="565" t="s">
        <v>587</v>
      </c>
      <c r="QA65" s="1041">
        <v>997.57355630788197</v>
      </c>
      <c r="QB65" s="1042">
        <v>540.03360743722101</v>
      </c>
      <c r="QC65" s="1042">
        <v>449.14586797559502</v>
      </c>
      <c r="QD65" s="1042">
        <v>38.470577131779102</v>
      </c>
      <c r="QE65" s="1042">
        <v>52.417162329846199</v>
      </c>
      <c r="QF65" s="1043">
        <v>0</v>
      </c>
    </row>
    <row r="66" spans="1:448" ht="13.5" customHeight="1">
      <c r="A66" s="136"/>
      <c r="B66" s="167" t="s">
        <v>588</v>
      </c>
      <c r="C66" s="561">
        <f>C9+C10+C11+C12+C13</f>
        <v>11937.236639000001</v>
      </c>
      <c r="D66" s="561">
        <f t="shared" ref="D66:E66" si="46">D9+D10+D11+D12+D13</f>
        <v>11422.718184344905</v>
      </c>
      <c r="E66" s="562">
        <f t="shared" si="46"/>
        <v>10856.50392928594</v>
      </c>
      <c r="F66" s="428"/>
      <c r="G66" s="167" t="s">
        <v>588</v>
      </c>
      <c r="H66" s="682">
        <f t="shared" si="5"/>
        <v>-8.7729805153841101E-3</v>
      </c>
      <c r="I66" s="674">
        <f t="shared" si="6"/>
        <v>-1.0116451880072042E-2</v>
      </c>
      <c r="J66" s="683"/>
      <c r="K66" s="63"/>
      <c r="L66" s="167" t="s">
        <v>588</v>
      </c>
      <c r="M66" s="623">
        <f>(M9+M10+M11+M12+M13)</f>
        <v>122</v>
      </c>
      <c r="N66" s="619">
        <f>(N9+N10+N11+N12+N13)</f>
        <v>158</v>
      </c>
      <c r="O66" s="619">
        <f t="shared" ref="O66:S66" si="47">(O9+O10+O11+O12+O13)</f>
        <v>153</v>
      </c>
      <c r="P66" s="619">
        <f t="shared" si="47"/>
        <v>111</v>
      </c>
      <c r="Q66" s="619">
        <f t="shared" si="47"/>
        <v>140</v>
      </c>
      <c r="R66" s="619">
        <f t="shared" si="47"/>
        <v>122</v>
      </c>
      <c r="S66" s="619">
        <f t="shared" si="47"/>
        <v>90</v>
      </c>
      <c r="T66" s="619">
        <f>(T9+T10+T11+T12+T13)</f>
        <v>75</v>
      </c>
      <c r="U66" s="561">
        <f>(U9+U10+U11+U12+U13)</f>
        <v>84</v>
      </c>
      <c r="V66" s="561">
        <f>(V9+V10+V11+V12+V13)</f>
        <v>85</v>
      </c>
      <c r="W66" s="562">
        <f>(W9+W10+W11+W12+W13)</f>
        <v>93</v>
      </c>
      <c r="X66" s="167" t="s">
        <v>588</v>
      </c>
      <c r="Y66" s="623">
        <f>(Y9+Y10+Y11+Y12+Y13)</f>
        <v>140</v>
      </c>
      <c r="Z66" s="619">
        <f>Z9+Z10+Z11+Z12+Z13</f>
        <v>132</v>
      </c>
      <c r="AA66" s="619">
        <f>AA9+AA10+AA11+AA12+AA13</f>
        <v>131</v>
      </c>
      <c r="AB66" s="619">
        <f>AB9+AB10+AB11+AB12+AB13</f>
        <v>82.5</v>
      </c>
      <c r="AC66" s="1205">
        <f>AC9+AC10+AC11+AC12+AC13</f>
        <v>82.5</v>
      </c>
      <c r="AD66" s="675">
        <f>(VLOOKUP($B66,$X$66:$AB$91,3,FALSE)-VLOOKUP($B66,$X$66:$AB$91,2,FALSE))/VLOOKUP($B66,$X$66:$AB$91,2,FALSE)</f>
        <v>-5.7142857142857141E-2</v>
      </c>
      <c r="AE66" s="675">
        <f>(VLOOKUP($B66,$X$66:$AB$91,4,FALSE)-VLOOKUP($B66,$X$66:$AB$91,3,FALSE))/VLOOKUP($B66,$X$66:$AB$91,3,FALSE)</f>
        <v>-7.575757575757576E-3</v>
      </c>
      <c r="AF66" s="675">
        <f>(VLOOKUP($B66,$X$66:$AB$91,5,FALSE)-VLOOKUP($B66,$X$66:$AB$91,4,FALSE))/VLOOKUP($B66,$X$66:$AB$91,4,FALSE)</f>
        <v>-0.37022900763358779</v>
      </c>
      <c r="AG66" s="1216">
        <f>(VLOOKUP($B66,$X$66:$AC$91,6,FALSE)-VLOOKUP($B66,$X$66:$AC$91,5,FALSE))/VLOOKUP($B66,$X$66:$AC$91,5,FALSE)</f>
        <v>0</v>
      </c>
      <c r="AN66" s="167" t="s">
        <v>588</v>
      </c>
      <c r="AO66" s="623">
        <f>(AO9+AO10+AO11+AO12+AO13)</f>
        <v>7.8232769999999991</v>
      </c>
      <c r="AP66" s="619">
        <f t="shared" ref="AP66:AV66" si="48">(AP9+AP10+AP11+AP12+AP13)</f>
        <v>374.11731199999997</v>
      </c>
      <c r="AQ66" s="619">
        <f t="shared" si="48"/>
        <v>1793.0390640000001</v>
      </c>
      <c r="AR66" s="619">
        <f t="shared" si="48"/>
        <v>1626.4037149999999</v>
      </c>
      <c r="AS66" s="619">
        <f t="shared" si="48"/>
        <v>1527.092523</v>
      </c>
      <c r="AT66" s="619">
        <f t="shared" si="48"/>
        <v>676.75553500000001</v>
      </c>
      <c r="AU66" s="619">
        <f t="shared" si="48"/>
        <v>1825.5752079999997</v>
      </c>
      <c r="AV66" s="620">
        <f t="shared" si="48"/>
        <v>3180.3208930000001</v>
      </c>
      <c r="AW66" s="623">
        <f>(AW9+AW10+AW11+AW12+AW13)</f>
        <v>6.70973723706798</v>
      </c>
      <c r="AX66" s="619">
        <f t="shared" ref="AX66:BD66" si="49">(AX9+AX10+AX11+AX12+AX13)</f>
        <v>337.26982954589948</v>
      </c>
      <c r="AY66" s="619">
        <f t="shared" si="49"/>
        <v>1828.6855968262548</v>
      </c>
      <c r="AZ66" s="619">
        <f t="shared" si="49"/>
        <v>1603.3703922313284</v>
      </c>
      <c r="BA66" s="619">
        <f t="shared" si="49"/>
        <v>1501.8679618222961</v>
      </c>
      <c r="BB66" s="619">
        <f t="shared" si="49"/>
        <v>640.89554916834243</v>
      </c>
      <c r="BC66" s="619">
        <f t="shared" si="49"/>
        <v>1674.9538672306689</v>
      </c>
      <c r="BD66" s="620">
        <f t="shared" si="49"/>
        <v>2817.9941001108305</v>
      </c>
      <c r="BE66" s="583">
        <f t="shared" ref="BE66:BL66" si="50">(BE9+BE10+BE11+BE12+BE13)</f>
        <v>0</v>
      </c>
      <c r="BF66" s="561">
        <f t="shared" si="50"/>
        <v>342.12052160828114</v>
      </c>
      <c r="BG66" s="561">
        <f t="shared" si="50"/>
        <v>1603.8129576925919</v>
      </c>
      <c r="BH66" s="561">
        <f t="shared" si="50"/>
        <v>1459.572733688713</v>
      </c>
      <c r="BI66" s="561">
        <f t="shared" si="50"/>
        <v>1389.830103486159</v>
      </c>
      <c r="BJ66" s="561">
        <f t="shared" si="50"/>
        <v>600.30601620113157</v>
      </c>
      <c r="BK66" s="561">
        <f t="shared" si="50"/>
        <v>1714.1788359505858</v>
      </c>
      <c r="BL66" s="562">
        <f t="shared" si="50"/>
        <v>2827.9417745900828</v>
      </c>
      <c r="BN66" s="167" t="s">
        <v>588</v>
      </c>
      <c r="BO66" s="623">
        <f t="shared" ref="BO66:BT66" si="51">(BO9+BO10+BO11+BO12+BO13)</f>
        <v>930.10910999999999</v>
      </c>
      <c r="BP66" s="619">
        <f t="shared" si="51"/>
        <v>5384.7510730000004</v>
      </c>
      <c r="BQ66" s="619">
        <f t="shared" si="51"/>
        <v>1908.1970379999998</v>
      </c>
      <c r="BR66" s="619">
        <f t="shared" si="51"/>
        <v>1640.4038899999998</v>
      </c>
      <c r="BS66" s="619">
        <f t="shared" si="51"/>
        <v>1120.867248</v>
      </c>
      <c r="BT66" s="620">
        <f t="shared" si="51"/>
        <v>952.90828299999998</v>
      </c>
      <c r="BU66" s="623">
        <f t="shared" ref="BU66:BZ66" si="52">(BU9+BU10+BU11+BU12+BU13)</f>
        <v>1011.9711493907038</v>
      </c>
      <c r="BV66" s="619">
        <f t="shared" si="52"/>
        <v>5229.6460086844163</v>
      </c>
      <c r="BW66" s="619">
        <f t="shared" si="52"/>
        <v>1930.2416752800964</v>
      </c>
      <c r="BX66" s="619">
        <f t="shared" si="52"/>
        <v>1158.4327868416431</v>
      </c>
      <c r="BY66" s="619">
        <f t="shared" si="52"/>
        <v>1183.6879102964565</v>
      </c>
      <c r="BZ66" s="620">
        <f t="shared" si="52"/>
        <v>908.73865385158922</v>
      </c>
      <c r="CA66" s="623">
        <f t="shared" ref="CA66:CF66" si="53">(CA9+CA10+CA11+CA12+CA13)</f>
        <v>927.74099520686093</v>
      </c>
      <c r="CB66" s="619">
        <f t="shared" si="53"/>
        <v>4872.7408995036931</v>
      </c>
      <c r="CC66" s="619">
        <f t="shared" si="53"/>
        <v>1603.897019531209</v>
      </c>
      <c r="CD66" s="619">
        <f t="shared" si="53"/>
        <v>1213.09805839768</v>
      </c>
      <c r="CE66" s="619">
        <f t="shared" si="53"/>
        <v>1353.5062639776461</v>
      </c>
      <c r="CF66" s="620">
        <f t="shared" si="53"/>
        <v>885.5206926688536</v>
      </c>
      <c r="CG66" s="429"/>
      <c r="CH66" s="167" t="s">
        <v>588</v>
      </c>
      <c r="CI66" s="582">
        <f t="shared" ref="CI66:CK66" si="54">(CI9+CI10+CI11+CI12+CI13)</f>
        <v>2247.7820019999999</v>
      </c>
      <c r="CJ66" s="571">
        <f t="shared" si="54"/>
        <v>8061.2092409999996</v>
      </c>
      <c r="CK66" s="571">
        <f t="shared" si="54"/>
        <v>1628.2453969999999</v>
      </c>
      <c r="CL66" s="582">
        <f t="shared" ref="CL66:CN66" si="55">(CL9+CL10+CL11+CL12+CL13)</f>
        <v>2453.4561072881229</v>
      </c>
      <c r="CM66" s="571">
        <f t="shared" si="55"/>
        <v>7343.1966186994759</v>
      </c>
      <c r="CN66" s="571">
        <f t="shared" si="55"/>
        <v>1626.0654583573069</v>
      </c>
      <c r="CO66" s="582">
        <f t="shared" ref="CO66:CQ66" si="56">(CO9+CO10+CO11+CO12+CO13)</f>
        <v>2345.5731746453021</v>
      </c>
      <c r="CP66" s="571">
        <f t="shared" si="56"/>
        <v>6659.145616177233</v>
      </c>
      <c r="CQ66" s="572">
        <f t="shared" si="56"/>
        <v>1851.7851384634052</v>
      </c>
      <c r="CR66" s="429"/>
      <c r="DB66" s="426"/>
      <c r="DC66" s="426"/>
      <c r="DD66" s="426"/>
      <c r="DE66" s="426"/>
      <c r="DG66" s="167" t="s">
        <v>588</v>
      </c>
      <c r="DH66" s="826"/>
      <c r="DI66" s="827"/>
      <c r="DJ66" s="827"/>
      <c r="DK66" s="827"/>
      <c r="DL66" s="827"/>
      <c r="DM66" s="828"/>
      <c r="DO66" s="167" t="s">
        <v>588</v>
      </c>
      <c r="DP66" s="708">
        <f t="shared" ref="DP66:DR66" si="57">(DP9+DP10+DP11+DP12+DP13)</f>
        <v>7907.4683449999993</v>
      </c>
      <c r="DQ66" s="619">
        <f t="shared" si="57"/>
        <v>7493.2864794146617</v>
      </c>
      <c r="DR66" s="620">
        <f t="shared" si="57"/>
        <v>7260.3887802252921</v>
      </c>
      <c r="DS66" s="63"/>
      <c r="DT66" s="167" t="s">
        <v>588</v>
      </c>
      <c r="DU66" s="623">
        <f t="shared" ref="DU66:DW66" si="58">(DU9+DU10+DU11+DU12+DU13)</f>
        <v>11600.237052</v>
      </c>
      <c r="DV66" s="619">
        <f t="shared" si="58"/>
        <v>11094.718440681083</v>
      </c>
      <c r="DW66" s="620">
        <f t="shared" si="58"/>
        <v>10492.5035596858</v>
      </c>
      <c r="DX66" s="63"/>
      <c r="DY66" s="167" t="s">
        <v>588</v>
      </c>
      <c r="DZ66" s="1092">
        <f t="shared" si="32"/>
        <v>1.4669975959290422</v>
      </c>
      <c r="EA66" s="790">
        <f t="shared" si="33"/>
        <v>1.4806211494996449</v>
      </c>
      <c r="EB66" s="779">
        <f t="shared" si="34"/>
        <v>1.4451710338520212</v>
      </c>
      <c r="ED66" s="541"/>
      <c r="EE66" s="167" t="s">
        <v>588</v>
      </c>
      <c r="EF66" s="583">
        <f t="shared" ref="EF66:EJ66" si="59">(EF9+EF10+EF11+EF12+EF13)</f>
        <v>5384.5616239999999</v>
      </c>
      <c r="EG66" s="561">
        <f t="shared" si="59"/>
        <v>416.95569999999998</v>
      </c>
      <c r="EH66" s="561">
        <f t="shared" si="59"/>
        <v>1247.7587859999999</v>
      </c>
      <c r="EI66" s="561">
        <f t="shared" si="59"/>
        <v>528.64468199999999</v>
      </c>
      <c r="EJ66" s="561">
        <f t="shared" si="59"/>
        <v>329.547552</v>
      </c>
      <c r="EK66" s="583">
        <f t="shared" ref="EK66:EO66" si="60">(EK9+EK10+EK11+EK12+EK13)</f>
        <v>5119.0689399306211</v>
      </c>
      <c r="EL66" s="561">
        <f t="shared" si="60"/>
        <v>361.20585474615928</v>
      </c>
      <c r="EM66" s="561">
        <f t="shared" si="60"/>
        <v>1163.6035741465685</v>
      </c>
      <c r="EN66" s="561">
        <f t="shared" si="60"/>
        <v>530.82066850605327</v>
      </c>
      <c r="EO66" s="561">
        <f t="shared" si="60"/>
        <v>318.5874420852594</v>
      </c>
      <c r="EP66" s="583">
        <f t="shared" ref="EP66:ET66" si="61">(EP9+EP10+EP11+EP12+EP13)</f>
        <v>5120.9231446947442</v>
      </c>
      <c r="EQ66" s="561">
        <f t="shared" si="61"/>
        <v>261.08259393861448</v>
      </c>
      <c r="ER66" s="561">
        <f t="shared" si="61"/>
        <v>1063.244067534024</v>
      </c>
      <c r="ES66" s="561">
        <f t="shared" si="61"/>
        <v>470.87559545730619</v>
      </c>
      <c r="ET66" s="562">
        <f t="shared" si="61"/>
        <v>344.26337860060312</v>
      </c>
      <c r="EV66" s="167" t="s">
        <v>588</v>
      </c>
      <c r="EW66" s="583">
        <f t="shared" ref="EW66:FD66" si="62">(EW9+EW10+EW11+EW12+EW13)</f>
        <v>2221.6634570000001</v>
      </c>
      <c r="EX66" s="561">
        <f t="shared" si="62"/>
        <v>1960.5577699999999</v>
      </c>
      <c r="EY66" s="561">
        <f t="shared" si="62"/>
        <v>860.18021399999998</v>
      </c>
      <c r="EZ66" s="561">
        <f t="shared" si="62"/>
        <v>340.14828199999999</v>
      </c>
      <c r="FA66" s="583">
        <f t="shared" si="62"/>
        <v>3686.4639029999994</v>
      </c>
      <c r="FB66" s="561">
        <f t="shared" si="62"/>
        <v>4370.9115160000001</v>
      </c>
      <c r="FC66" s="561">
        <f t="shared" si="62"/>
        <v>2016.4649750000001</v>
      </c>
      <c r="FD66" s="561">
        <f t="shared" si="62"/>
        <v>607.28753299999994</v>
      </c>
      <c r="FE66" s="583">
        <f t="shared" ref="FE66:FL66" si="63">(FE9+FE10+FE11+FE12+FE13)</f>
        <v>2271.7357411964276</v>
      </c>
      <c r="FF66" s="561">
        <f t="shared" si="63"/>
        <v>1661.6415302117491</v>
      </c>
      <c r="FG66" s="561">
        <f t="shared" si="63"/>
        <v>840.01605789836026</v>
      </c>
      <c r="FH66" s="562">
        <f t="shared" si="63"/>
        <v>345.67561062408373</v>
      </c>
      <c r="FI66" s="583">
        <f t="shared" si="63"/>
        <v>3606.7424731601518</v>
      </c>
      <c r="FJ66" s="561">
        <f t="shared" si="63"/>
        <v>4012.9384112435814</v>
      </c>
      <c r="FK66" s="561">
        <f t="shared" si="63"/>
        <v>1845.7799455956547</v>
      </c>
      <c r="FL66" s="562">
        <f t="shared" si="63"/>
        <v>634.28644800527411</v>
      </c>
      <c r="FM66" s="703">
        <f t="shared" ref="FM66:FT66" si="64">(FM9+FM10+FM11+FM12+FM13)</f>
        <v>2097.790668013201</v>
      </c>
      <c r="FN66" s="704">
        <f t="shared" si="64"/>
        <v>1637.7310376924347</v>
      </c>
      <c r="FO66" s="704">
        <f t="shared" si="64"/>
        <v>1055.418369104292</v>
      </c>
      <c r="FP66" s="173">
        <f t="shared" si="64"/>
        <v>326.98306683865587</v>
      </c>
      <c r="FQ66" s="703">
        <f t="shared" si="64"/>
        <v>3232.5071342866822</v>
      </c>
      <c r="FR66" s="704">
        <f t="shared" si="64"/>
        <v>3680.346338890974</v>
      </c>
      <c r="FS66" s="704">
        <f t="shared" si="64"/>
        <v>2100.530534084307</v>
      </c>
      <c r="FT66" s="173">
        <f t="shared" si="64"/>
        <v>561.37856737082598</v>
      </c>
      <c r="FV66" s="167" t="s">
        <v>588</v>
      </c>
      <c r="FW66" s="583">
        <f t="shared" ref="FW66:GH66" si="65">(FW9+FW10+FW11+FW12+FW13)</f>
        <v>1286.2570310000001</v>
      </c>
      <c r="FX66" s="561">
        <f t="shared" si="65"/>
        <v>433.55014400000005</v>
      </c>
      <c r="FY66" s="561">
        <f t="shared" si="65"/>
        <v>272.42514599999998</v>
      </c>
      <c r="FZ66" s="562">
        <f t="shared" si="65"/>
        <v>113.7187</v>
      </c>
      <c r="GA66" s="583">
        <f t="shared" si="65"/>
        <v>1220.9956184452171</v>
      </c>
      <c r="GB66" s="561">
        <f t="shared" si="65"/>
        <v>394.90788283759082</v>
      </c>
      <c r="GC66" s="561">
        <f t="shared" si="65"/>
        <v>297.09303271132978</v>
      </c>
      <c r="GD66" s="562">
        <f t="shared" si="65"/>
        <v>110.3296157597548</v>
      </c>
      <c r="GE66" s="583">
        <f t="shared" si="65"/>
        <v>1118.6817945345799</v>
      </c>
      <c r="GF66" s="561">
        <f t="shared" si="65"/>
        <v>391.65695942960156</v>
      </c>
      <c r="GG66" s="561">
        <f t="shared" si="65"/>
        <v>289.3048553201009</v>
      </c>
      <c r="GH66" s="562">
        <f t="shared" si="65"/>
        <v>85.996192266050215</v>
      </c>
      <c r="GJ66" s="167" t="s">
        <v>588</v>
      </c>
      <c r="GK66" s="561">
        <f t="shared" ref="GK66:GM66" si="66">(GK9+GK10+GK11+GK12+GK13)</f>
        <v>8867.9903579999991</v>
      </c>
      <c r="GL66" s="561">
        <f t="shared" si="66"/>
        <v>8921.4941446781559</v>
      </c>
      <c r="GM66" s="562">
        <f t="shared" si="66"/>
        <v>9118.9288697274496</v>
      </c>
      <c r="GO66" s="167" t="s">
        <v>588</v>
      </c>
      <c r="GP66" s="583">
        <f t="shared" ref="GP66:GX66" si="67">(GP9+GP10+GP11+GP12+GP13)</f>
        <v>7902.4683519999999</v>
      </c>
      <c r="GQ66" s="561">
        <f t="shared" si="67"/>
        <v>271.48165399999999</v>
      </c>
      <c r="GR66" s="562">
        <f t="shared" si="67"/>
        <v>694.04035199999998</v>
      </c>
      <c r="GS66" s="583">
        <f t="shared" si="67"/>
        <v>7492.2864801961741</v>
      </c>
      <c r="GT66" s="561">
        <f t="shared" si="67"/>
        <v>299.1761849898524</v>
      </c>
      <c r="GU66" s="562">
        <f t="shared" si="67"/>
        <v>1130.0314794921287</v>
      </c>
      <c r="GV66" s="583">
        <f t="shared" si="67"/>
        <v>7256.3887761637525</v>
      </c>
      <c r="GW66" s="561">
        <f t="shared" si="67"/>
        <v>495.64781483265097</v>
      </c>
      <c r="GX66" s="562">
        <f t="shared" si="67"/>
        <v>1366.892278731058</v>
      </c>
      <c r="GZ66" s="167" t="s">
        <v>588</v>
      </c>
      <c r="HA66" s="583">
        <f t="shared" ref="HA66:HI66" si="68">(HA9+HA10+HA11+HA12+HA13)</f>
        <v>529.97392000000002</v>
      </c>
      <c r="HB66" s="561">
        <f t="shared" si="68"/>
        <v>8303.0359850000004</v>
      </c>
      <c r="HC66" s="562">
        <f t="shared" si="68"/>
        <v>34.980453000000125</v>
      </c>
      <c r="HD66" s="583">
        <f t="shared" si="68"/>
        <v>537.80455573460176</v>
      </c>
      <c r="HE66" s="561">
        <f t="shared" si="68"/>
        <v>8281.9206808297495</v>
      </c>
      <c r="HF66" s="562">
        <f t="shared" si="68"/>
        <v>101.76890811380349</v>
      </c>
      <c r="HG66" s="583">
        <f t="shared" si="68"/>
        <v>526.06389721020287</v>
      </c>
      <c r="HH66" s="561">
        <f t="shared" si="68"/>
        <v>8505.4497051236194</v>
      </c>
      <c r="HI66" s="562">
        <f t="shared" si="68"/>
        <v>87.415267393627346</v>
      </c>
      <c r="HK66" s="167" t="s">
        <v>588</v>
      </c>
      <c r="HL66" s="561">
        <f t="shared" ref="HL66:HO66" si="69">(HL9+HL10+HL11+HL12+HL13)</f>
        <v>7902.4683519999999</v>
      </c>
      <c r="HM66" s="561">
        <f t="shared" ref="HM66" si="70">(HM9+HM10+HM11+HM12+HM13)</f>
        <v>20462.055177999999</v>
      </c>
      <c r="HN66" s="779">
        <f t="shared" si="10"/>
        <v>2.5893245333682797</v>
      </c>
      <c r="HO66" s="583">
        <f t="shared" si="69"/>
        <v>7492.2864801961741</v>
      </c>
      <c r="HP66" s="561">
        <f t="shared" ref="HP66" si="71">(HP9+HP10+HP11+HP12+HP13)</f>
        <v>19137.86051537071</v>
      </c>
      <c r="HQ66" s="779">
        <f t="shared" si="11"/>
        <v>2.554341797521551</v>
      </c>
      <c r="HR66" s="561">
        <f>(HR9+HR10+HR11+HR12+HR13)</f>
        <v>7256.3887761637525</v>
      </c>
      <c r="HS66" s="561">
        <f>(HS9+HS10+HS11+HS12+HS13)</f>
        <v>19064.67114314335</v>
      </c>
      <c r="HT66" s="784">
        <f t="shared" si="12"/>
        <v>2.6272946132335404</v>
      </c>
      <c r="HV66" s="167" t="s">
        <v>588</v>
      </c>
      <c r="HW66" s="583">
        <f>(HW9+HW10+HW11+HW12+HW13)</f>
        <v>475.17772600000001</v>
      </c>
      <c r="HX66" s="561">
        <f>(HX9+HX10+HX11+HX12+HX13)</f>
        <v>2677.286912</v>
      </c>
      <c r="HY66" s="790">
        <f t="shared" si="13"/>
        <v>5.6342853747315589</v>
      </c>
      <c r="HZ66" s="561">
        <f>(HZ9+HZ10+HZ11+HZ12+HZ13)</f>
        <v>7393.3101729999998</v>
      </c>
      <c r="IA66" s="561">
        <f>(IA9+IA10+IA11+IA12+IA13)</f>
        <v>17741.787821999998</v>
      </c>
      <c r="IB66" s="790">
        <f t="shared" si="14"/>
        <v>2.3997083047850643</v>
      </c>
      <c r="IC66" s="583">
        <f>(IC9+IC10+IC11+IC12+IC13)</f>
        <v>464.7471647362708</v>
      </c>
      <c r="ID66" s="561">
        <f>(ID9+ID10+ID11+ID12+ID13)</f>
        <v>2600.2418643743044</v>
      </c>
      <c r="IE66" s="790">
        <f t="shared" si="15"/>
        <v>5.5949601453725037</v>
      </c>
      <c r="IF66" s="561">
        <f>(IF9+IF10+IF11+IF12+IF13)</f>
        <v>6930.000835566575</v>
      </c>
      <c r="IG66" s="561">
        <f>(IG9+IG10+IG11+IG12+IG13)</f>
        <v>16343.796008393778</v>
      </c>
      <c r="IH66" s="779">
        <f>IG66/IF66</f>
        <v>2.3584118380640224</v>
      </c>
      <c r="II66" s="583">
        <f>(II9+II10+II11+II12+II13)</f>
        <v>423.94512272806816</v>
      </c>
      <c r="IJ66" s="561">
        <f>(IJ9+IJ10+IJ11+IJ12+IJ13)</f>
        <v>2590.6684050387562</v>
      </c>
      <c r="IK66" s="790">
        <f t="shared" si="17"/>
        <v>6.1108579062495618</v>
      </c>
      <c r="IL66" s="561">
        <f>(IL9+IL10+IL11+IL12+IL13)</f>
        <v>6751.7579903157703</v>
      </c>
      <c r="IM66" s="561">
        <f>(IM9+IM10+IM11+IM12+IM13)</f>
        <v>16359.381330017499</v>
      </c>
      <c r="IN66" s="779">
        <f t="shared" si="18"/>
        <v>2.4229810004271783</v>
      </c>
      <c r="IP66" s="167" t="s">
        <v>588</v>
      </c>
      <c r="IQ66" s="583">
        <f>(IQ9+IQ10+IQ11+IQ12+IQ13)</f>
        <v>2151.8070930000004</v>
      </c>
      <c r="IR66" s="561">
        <f t="shared" ref="IR66:JH66" si="72">(IR9+IR10+IR11+IR12+IR13)</f>
        <v>2381.2434760000001</v>
      </c>
      <c r="IS66" s="561">
        <f t="shared" si="72"/>
        <v>1734.363063</v>
      </c>
      <c r="IT66" s="561">
        <f t="shared" si="72"/>
        <v>755.23765100000003</v>
      </c>
      <c r="IU66" s="561">
        <f t="shared" si="72"/>
        <v>879.81706999999994</v>
      </c>
      <c r="IV66" s="561">
        <f t="shared" si="72"/>
        <v>20462.055177999999</v>
      </c>
      <c r="IW66" s="703">
        <f t="shared" si="72"/>
        <v>2111.0315125706825</v>
      </c>
      <c r="IX66" s="704">
        <f t="shared" si="72"/>
        <v>2303.6624242882131</v>
      </c>
      <c r="IY66" s="704">
        <f t="shared" si="72"/>
        <v>1478.1956610683801</v>
      </c>
      <c r="IZ66" s="704">
        <f t="shared" si="72"/>
        <v>890.55135274262079</v>
      </c>
      <c r="JA66" s="704">
        <f t="shared" si="72"/>
        <v>708.84552952627701</v>
      </c>
      <c r="JB66" s="173">
        <f t="shared" si="72"/>
        <v>19137.86051537071</v>
      </c>
      <c r="JC66" s="703">
        <f t="shared" si="72"/>
        <v>1877.6760352706872</v>
      </c>
      <c r="JD66" s="704">
        <f t="shared" si="72"/>
        <v>2207.2074713751581</v>
      </c>
      <c r="JE66" s="704">
        <f t="shared" si="72"/>
        <v>1556.834338622584</v>
      </c>
      <c r="JF66" s="704">
        <f t="shared" si="72"/>
        <v>864.37407281133994</v>
      </c>
      <c r="JG66" s="704">
        <f t="shared" si="72"/>
        <v>750.29685808397971</v>
      </c>
      <c r="JH66" s="173">
        <f t="shared" si="72"/>
        <v>19064.67114314335</v>
      </c>
      <c r="JJ66" s="167" t="s">
        <v>588</v>
      </c>
      <c r="JK66" s="583">
        <f t="shared" ref="JK66:JV66" si="73">(JK9+JK10+JK11+JK12+JK13)</f>
        <v>1896.17218</v>
      </c>
      <c r="JL66" s="561">
        <f t="shared" si="73"/>
        <v>4867.2542130000002</v>
      </c>
      <c r="JM66" s="561">
        <f t="shared" si="73"/>
        <v>941.66827300000011</v>
      </c>
      <c r="JN66" s="562">
        <f t="shared" si="73"/>
        <v>197.37368500000002</v>
      </c>
      <c r="JO66" s="583">
        <f t="shared" si="73"/>
        <v>1721.1634882798426</v>
      </c>
      <c r="JP66" s="561">
        <f t="shared" si="73"/>
        <v>4716.1671941870482</v>
      </c>
      <c r="JQ66" s="561">
        <f t="shared" si="73"/>
        <v>856.94305985017024</v>
      </c>
      <c r="JR66" s="562">
        <f t="shared" si="73"/>
        <v>198.01273787911339</v>
      </c>
      <c r="JS66" s="583">
        <f t="shared" si="73"/>
        <v>1683.6836838869499</v>
      </c>
      <c r="JT66" s="561">
        <f t="shared" si="73"/>
        <v>4377.5825206712516</v>
      </c>
      <c r="JU66" s="561">
        <f t="shared" si="73"/>
        <v>1025.9764723704136</v>
      </c>
      <c r="JV66" s="562">
        <f t="shared" si="73"/>
        <v>169.1460992351289</v>
      </c>
      <c r="JX66" s="167" t="s">
        <v>588</v>
      </c>
      <c r="JY66" s="583">
        <f t="shared" ref="JY66:KB66" si="74">(JY9+JY10+JY11+JY12+JY13)</f>
        <v>2179.376745093819</v>
      </c>
      <c r="JZ66" s="561">
        <f t="shared" si="74"/>
        <v>2384.5741963818541</v>
      </c>
      <c r="KA66" s="561">
        <f t="shared" si="74"/>
        <v>951.83823090063004</v>
      </c>
      <c r="KB66" s="562">
        <f t="shared" si="74"/>
        <v>1740.5996037874443</v>
      </c>
      <c r="KC66" s="604"/>
      <c r="KD66" s="167" t="s">
        <v>588</v>
      </c>
      <c r="KE66" s="583">
        <f t="shared" ref="KE66:KV66" si="75">(KE9+KE10+KE11+KE12+KE13)</f>
        <v>1201.1113707294739</v>
      </c>
      <c r="KF66" s="561">
        <f t="shared" si="75"/>
        <v>550.9192858034578</v>
      </c>
      <c r="KG66" s="561">
        <f t="shared" si="75"/>
        <v>1977.751532739614</v>
      </c>
      <c r="KH66" s="561">
        <f t="shared" si="75"/>
        <v>2071.7761427330811</v>
      </c>
      <c r="KI66" s="561">
        <f t="shared" si="75"/>
        <v>710.91613071882648</v>
      </c>
      <c r="KJ66" s="562">
        <f t="shared" si="75"/>
        <v>199.65275679193348</v>
      </c>
      <c r="KK66" s="583">
        <f t="shared" si="75"/>
        <v>274.1698398386842</v>
      </c>
      <c r="KL66" s="561">
        <f t="shared" si="75"/>
        <v>35.63978964200917</v>
      </c>
      <c r="KM66" s="561">
        <f t="shared" si="75"/>
        <v>71.498705479346555</v>
      </c>
      <c r="KN66" s="561">
        <f t="shared" si="75"/>
        <v>19.53668073029721</v>
      </c>
      <c r="KO66" s="561">
        <f t="shared" si="75"/>
        <v>10.884375041557629</v>
      </c>
      <c r="KP66" s="562">
        <f t="shared" si="75"/>
        <v>8.3964310226783887</v>
      </c>
      <c r="KQ66" s="583">
        <f t="shared" si="75"/>
        <v>1489.2454260371278</v>
      </c>
      <c r="KR66" s="561">
        <f t="shared" si="75"/>
        <v>589.54475899305385</v>
      </c>
      <c r="KS66" s="561">
        <f t="shared" si="75"/>
        <v>2054.7357594325513</v>
      </c>
      <c r="KT66" s="561">
        <f t="shared" si="75"/>
        <v>2101.2554701612557</v>
      </c>
      <c r="KU66" s="561">
        <f t="shared" si="75"/>
        <v>745.12955581549022</v>
      </c>
      <c r="KV66" s="562">
        <f t="shared" si="75"/>
        <v>233.02773395138558</v>
      </c>
      <c r="KW66" s="429"/>
      <c r="KX66" s="167" t="s">
        <v>588</v>
      </c>
      <c r="KY66" s="583">
        <f t="shared" ref="KY66:LA66" si="76">(KY9+KY10+KY11+KY12+KY13)</f>
        <v>3429.9319829999999</v>
      </c>
      <c r="KZ66" s="561">
        <f t="shared" si="76"/>
        <v>3830.6468999999997</v>
      </c>
      <c r="LA66" s="562">
        <f t="shared" si="76"/>
        <v>646.88946199999998</v>
      </c>
      <c r="LB66" s="583">
        <f t="shared" ref="LB66:LD66" si="77">(LB9+LB10+LB11+LB12+LB13)</f>
        <v>3493.5792842104102</v>
      </c>
      <c r="LC66" s="561">
        <f t="shared" si="77"/>
        <v>3386.9821755059538</v>
      </c>
      <c r="LD66" s="562">
        <f t="shared" si="77"/>
        <v>612.72501969829671</v>
      </c>
      <c r="LE66" s="583">
        <f t="shared" ref="LE66:LG66" si="78">(LE9+LE10+LE11+LE12+LE13)</f>
        <v>3467.940773772581</v>
      </c>
      <c r="LF66" s="561">
        <f t="shared" si="78"/>
        <v>3267.240220264986</v>
      </c>
      <c r="LG66" s="562">
        <f t="shared" si="78"/>
        <v>525.20778618772533</v>
      </c>
      <c r="LH66" s="426"/>
      <c r="LI66" s="167" t="s">
        <v>588</v>
      </c>
      <c r="LJ66" s="583">
        <f t="shared" ref="LJ66:MA66" si="79">(LJ9+LJ10+LJ11+LJ12+LJ13)</f>
        <v>6045.8769860000002</v>
      </c>
      <c r="LK66" s="561">
        <f t="shared" si="79"/>
        <v>5193.9096589999999</v>
      </c>
      <c r="LL66" s="561">
        <f t="shared" si="79"/>
        <v>851.96732700000007</v>
      </c>
      <c r="LM66" s="561">
        <f t="shared" si="79"/>
        <v>2611.4156969999999</v>
      </c>
      <c r="LN66" s="561">
        <f t="shared" si="79"/>
        <v>347.88413100000002</v>
      </c>
      <c r="LO66" s="562">
        <f t="shared" si="79"/>
        <v>373.70531800000003</v>
      </c>
      <c r="LP66" s="583">
        <f t="shared" si="79"/>
        <v>5929.5791157375234</v>
      </c>
      <c r="LQ66" s="561">
        <f t="shared" si="79"/>
        <v>4976.1151090201774</v>
      </c>
      <c r="LR66" s="561">
        <f t="shared" si="79"/>
        <v>953.46400671734614</v>
      </c>
      <c r="LS66" s="561">
        <f t="shared" si="79"/>
        <v>2286.2141923168692</v>
      </c>
      <c r="LT66" s="561">
        <f t="shared" si="79"/>
        <v>226.64873901394577</v>
      </c>
      <c r="LU66" s="562">
        <f t="shared" si="79"/>
        <v>342.23952952855649</v>
      </c>
      <c r="LV66" s="583">
        <f t="shared" si="79"/>
        <v>5414.1852902532755</v>
      </c>
      <c r="LW66" s="561">
        <f t="shared" si="79"/>
        <v>4505.6342859165006</v>
      </c>
      <c r="LX66" s="561">
        <f t="shared" si="79"/>
        <v>908.55100433677592</v>
      </c>
      <c r="LY66" s="561">
        <f t="shared" si="79"/>
        <v>2165.8838800724093</v>
      </c>
      <c r="LZ66" s="561">
        <f t="shared" si="79"/>
        <v>128.32111602740585</v>
      </c>
      <c r="MA66" s="562">
        <f t="shared" si="79"/>
        <v>368.5875092625846</v>
      </c>
      <c r="MC66" s="167" t="s">
        <v>588</v>
      </c>
      <c r="MD66" s="583">
        <f t="shared" ref="MD66:MU66" si="80">(MD9+MD10+MD11+MD12+MD13)</f>
        <v>7.8232769999999991</v>
      </c>
      <c r="ME66" s="561">
        <f t="shared" si="80"/>
        <v>332.49649299999999</v>
      </c>
      <c r="MF66" s="561">
        <f t="shared" si="80"/>
        <v>1705.2892900000002</v>
      </c>
      <c r="MG66" s="561">
        <f t="shared" si="80"/>
        <v>1374.5776510000001</v>
      </c>
      <c r="MH66" s="561">
        <f t="shared" si="80"/>
        <v>1259.96225</v>
      </c>
      <c r="MI66" s="562">
        <f t="shared" si="80"/>
        <v>520.76068499999997</v>
      </c>
      <c r="MJ66" s="583">
        <f t="shared" si="80"/>
        <v>6.70973723706798</v>
      </c>
      <c r="MK66" s="561">
        <f t="shared" si="80"/>
        <v>256.97549507778308</v>
      </c>
      <c r="ML66" s="561">
        <f t="shared" si="80"/>
        <v>1686.4143187104519</v>
      </c>
      <c r="MM66" s="561">
        <f t="shared" si="80"/>
        <v>1354.4543696178744</v>
      </c>
      <c r="MN66" s="561">
        <f t="shared" si="80"/>
        <v>1195.7111707620688</v>
      </c>
      <c r="MO66" s="562">
        <f t="shared" si="80"/>
        <v>476.85001683341875</v>
      </c>
      <c r="MP66" s="583">
        <f t="shared" si="80"/>
        <v>0</v>
      </c>
      <c r="MQ66" s="561">
        <f t="shared" si="80"/>
        <v>271.63979380978731</v>
      </c>
      <c r="MR66" s="561">
        <f t="shared" si="80"/>
        <v>1476.639332064125</v>
      </c>
      <c r="MS66" s="561">
        <f t="shared" si="80"/>
        <v>1281.9450164945501</v>
      </c>
      <c r="MT66" s="561">
        <f t="shared" si="80"/>
        <v>1071.78998006037</v>
      </c>
      <c r="MU66" s="562">
        <f t="shared" si="80"/>
        <v>404.62016450305475</v>
      </c>
      <c r="MW66" s="167" t="s">
        <v>588</v>
      </c>
      <c r="MX66" s="583">
        <f t="shared" ref="MX66:NF66" si="81">(MX9+MX10+MX11+MX12+MX13)</f>
        <v>5225.1234059999997</v>
      </c>
      <c r="MY66" s="561">
        <f t="shared" si="81"/>
        <v>4489.358037</v>
      </c>
      <c r="MZ66" s="561">
        <f t="shared" si="81"/>
        <v>735.76536999999996</v>
      </c>
      <c r="NA66" s="583">
        <f t="shared" si="81"/>
        <v>5059.7983869274112</v>
      </c>
      <c r="NB66" s="561">
        <f t="shared" si="81"/>
        <v>4342.8688158239347</v>
      </c>
      <c r="NC66" s="562">
        <f t="shared" si="81"/>
        <v>716.92957110347527</v>
      </c>
      <c r="ND66" s="583">
        <f t="shared" si="81"/>
        <v>4628.1505084010732</v>
      </c>
      <c r="NE66" s="561">
        <f t="shared" si="81"/>
        <v>3803.1272911504748</v>
      </c>
      <c r="NF66" s="562">
        <f t="shared" si="81"/>
        <v>825.02321725059926</v>
      </c>
      <c r="NH66" s="167" t="s">
        <v>588</v>
      </c>
      <c r="NI66" s="583">
        <f t="shared" ref="NI66:NR66" si="82">(NI9+NI10+NI11+NI12+NI13)</f>
        <v>2964.5570948598593</v>
      </c>
      <c r="NJ66" s="562">
        <f t="shared" si="82"/>
        <v>1378.3117209640768</v>
      </c>
      <c r="NK66" s="583">
        <f t="shared" si="82"/>
        <v>388.29860058387578</v>
      </c>
      <c r="NL66" s="561">
        <f t="shared" si="82"/>
        <v>320.80989258417219</v>
      </c>
      <c r="NM66" s="562">
        <f t="shared" si="82"/>
        <v>7.8210779354272191</v>
      </c>
      <c r="NN66" s="583">
        <f t="shared" si="82"/>
        <v>2616.7964014344489</v>
      </c>
      <c r="NO66" s="562">
        <f t="shared" si="82"/>
        <v>1186.3308897160241</v>
      </c>
      <c r="NP66" s="583">
        <f t="shared" si="82"/>
        <v>513.58976797308799</v>
      </c>
      <c r="NQ66" s="561">
        <f t="shared" si="82"/>
        <v>293.5168798288592</v>
      </c>
      <c r="NR66" s="562">
        <f t="shared" si="82"/>
        <v>17.91656944865279</v>
      </c>
      <c r="NS66" s="136"/>
      <c r="NT66" s="167" t="s">
        <v>588</v>
      </c>
      <c r="NU66" s="583">
        <f t="shared" ref="NU66:OB66" si="83">(NU9+NU10+NU11+NU12+NU13)</f>
        <v>826.87907125198842</v>
      </c>
      <c r="NV66" s="561">
        <f t="shared" si="83"/>
        <v>93.982262517060065</v>
      </c>
      <c r="NW66" s="561">
        <f t="shared" si="83"/>
        <v>24.424190820395431</v>
      </c>
      <c r="NX66" s="562">
        <f t="shared" si="83"/>
        <v>433.02619637463283</v>
      </c>
      <c r="NY66" s="583">
        <f t="shared" si="83"/>
        <v>727.62508762829566</v>
      </c>
      <c r="NZ66" s="561">
        <f t="shared" si="83"/>
        <v>70.539452955919103</v>
      </c>
      <c r="OA66" s="561">
        <f t="shared" si="83"/>
        <v>18.3299121751412</v>
      </c>
      <c r="OB66" s="562">
        <f t="shared" si="83"/>
        <v>369.83643695666831</v>
      </c>
      <c r="OC66" s="553"/>
      <c r="OD66" s="167" t="s">
        <v>588</v>
      </c>
      <c r="OE66" s="583">
        <f t="shared" ref="OE66:OR66" si="84">(OE9+OE10+OE11+OE12+OE13)</f>
        <v>190.96593278308561</v>
      </c>
      <c r="OF66" s="561">
        <f t="shared" si="84"/>
        <v>278.49659915892198</v>
      </c>
      <c r="OG66" s="561">
        <f t="shared" si="84"/>
        <v>208.28290728022958</v>
      </c>
      <c r="OH66" s="561">
        <f t="shared" si="84"/>
        <v>224.27201857285687</v>
      </c>
      <c r="OI66" s="561">
        <f t="shared" si="84"/>
        <v>2688.3653166661202</v>
      </c>
      <c r="OJ66" s="561">
        <f t="shared" si="84"/>
        <v>298.10689180743651</v>
      </c>
      <c r="OK66" s="562">
        <f t="shared" si="84"/>
        <v>141.55695682039129</v>
      </c>
      <c r="OL66" s="583">
        <f t="shared" si="84"/>
        <v>264.89853457527721</v>
      </c>
      <c r="OM66" s="561">
        <f t="shared" si="84"/>
        <v>289.52593077591706</v>
      </c>
      <c r="ON66" s="561">
        <f t="shared" si="84"/>
        <v>215.0183157416777</v>
      </c>
      <c r="OO66" s="561">
        <f t="shared" si="84"/>
        <v>231.06521356045576</v>
      </c>
      <c r="OP66" s="561">
        <f t="shared" si="84"/>
        <v>3303.4422273725017</v>
      </c>
      <c r="OQ66" s="561">
        <f t="shared" si="84"/>
        <v>1338.2334585707358</v>
      </c>
      <c r="OR66" s="562">
        <f t="shared" si="84"/>
        <v>5056.0220345753951</v>
      </c>
      <c r="OT66" s="167" t="s">
        <v>588</v>
      </c>
      <c r="OU66" s="583">
        <f t="shared" ref="OU66:PF66" si="85">(OU9+OU10+OU11+OU12+OU13)</f>
        <v>1339.836967</v>
      </c>
      <c r="OV66" s="561">
        <f t="shared" si="85"/>
        <v>906.03490999999997</v>
      </c>
      <c r="OW66" s="561">
        <f t="shared" si="85"/>
        <v>1292.0367349999997</v>
      </c>
      <c r="OX66" s="562">
        <f t="shared" si="85"/>
        <v>3591.1453260000003</v>
      </c>
      <c r="OY66" s="583">
        <f t="shared" si="85"/>
        <v>1089.1095216462738</v>
      </c>
      <c r="OZ66" s="561">
        <f t="shared" si="85"/>
        <v>724.02375844549215</v>
      </c>
      <c r="PA66" s="561">
        <f t="shared" si="85"/>
        <v>1165.6625136024786</v>
      </c>
      <c r="PB66" s="562">
        <f t="shared" si="85"/>
        <v>3821.8223660351591</v>
      </c>
      <c r="PC66" s="583">
        <f t="shared" si="85"/>
        <v>873.36596684847905</v>
      </c>
      <c r="PD66" s="561">
        <f t="shared" si="85"/>
        <v>731.67413859118847</v>
      </c>
      <c r="PE66" s="561">
        <f t="shared" si="85"/>
        <v>1136.5209615464951</v>
      </c>
      <c r="PF66" s="562">
        <f t="shared" si="85"/>
        <v>3834.9006832261121</v>
      </c>
      <c r="PH66" s="167" t="s">
        <v>588</v>
      </c>
      <c r="PI66" s="583">
        <f t="shared" ref="PI66:PP66" si="86">(PI9+PI10+PI11+PI12+PI13)</f>
        <v>370.98763824413498</v>
      </c>
      <c r="PJ66" s="561">
        <f t="shared" si="86"/>
        <v>395.47449471433333</v>
      </c>
      <c r="PK66" s="561">
        <f t="shared" si="86"/>
        <v>512.59407023042979</v>
      </c>
      <c r="PL66" s="562">
        <f t="shared" si="86"/>
        <v>1794.8721002328994</v>
      </c>
      <c r="PM66" s="583">
        <f t="shared" si="86"/>
        <v>502.37832860434378</v>
      </c>
      <c r="PN66" s="561">
        <f t="shared" si="86"/>
        <v>336.19964387685479</v>
      </c>
      <c r="PO66" s="561">
        <f t="shared" si="86"/>
        <v>623.92689131606539</v>
      </c>
      <c r="PP66" s="562">
        <f t="shared" si="86"/>
        <v>2040.0285829932131</v>
      </c>
      <c r="PQ66" s="65"/>
      <c r="PR66" s="169" t="s">
        <v>588</v>
      </c>
      <c r="PS66" s="1038">
        <f t="shared" ref="PS66:PW66" si="87">(PS9+PS10+PS11+PS12+PS13)</f>
        <v>184.83156009801169</v>
      </c>
      <c r="PT66" s="1039">
        <f t="shared" si="87"/>
        <v>1303.7628391553101</v>
      </c>
      <c r="PU66" s="1039">
        <f t="shared" si="87"/>
        <v>370.60715705746031</v>
      </c>
      <c r="PV66" s="1039">
        <f t="shared" si="87"/>
        <v>58.595182533317015</v>
      </c>
      <c r="PW66" s="1039">
        <f t="shared" si="87"/>
        <v>1616.262049903261</v>
      </c>
      <c r="PX66" s="1040">
        <f t="shared" ref="PX66" si="88">(PX9+PX10+PX11+PX12+PX13)</f>
        <v>1094.091719653713</v>
      </c>
      <c r="PZ66" s="169" t="s">
        <v>588</v>
      </c>
      <c r="QA66" s="1038">
        <f t="shared" ref="QA66:QF66" si="89">(QA9+QA10+QA11+QA12+QA13)</f>
        <v>3206.2516146998541</v>
      </c>
      <c r="QB66" s="1039">
        <f t="shared" si="89"/>
        <v>1421.898893701215</v>
      </c>
      <c r="QC66" s="1039">
        <f t="shared" si="89"/>
        <v>912.27858429902096</v>
      </c>
      <c r="QD66" s="1039">
        <f t="shared" ref="QD66" si="90">(QD9+QD10+QD11+QD12+QD13)</f>
        <v>246.89760680047391</v>
      </c>
      <c r="QE66" s="1039">
        <f t="shared" si="89"/>
        <v>246.7347906893321</v>
      </c>
      <c r="QF66" s="1040">
        <f t="shared" si="89"/>
        <v>15.98791191238753</v>
      </c>
    </row>
    <row r="67" spans="1:448" ht="13.5" customHeight="1">
      <c r="A67" s="136"/>
      <c r="B67" s="167" t="s">
        <v>589</v>
      </c>
      <c r="C67" s="561">
        <f t="shared" ref="C67:E67" si="91">C14+C15+C16+C17</f>
        <v>11786.433569999999</v>
      </c>
      <c r="D67" s="561">
        <f t="shared" si="91"/>
        <v>11258.634265175926</v>
      </c>
      <c r="E67" s="562">
        <f t="shared" si="91"/>
        <v>10996.078552169331</v>
      </c>
      <c r="F67" s="136"/>
      <c r="G67" s="167" t="s">
        <v>589</v>
      </c>
      <c r="H67" s="318">
        <f t="shared" si="5"/>
        <v>-9.1209193627458385E-3</v>
      </c>
      <c r="I67" s="668">
        <f t="shared" si="6"/>
        <v>-4.7082036042527253E-3</v>
      </c>
      <c r="J67" s="612"/>
      <c r="K67" s="63"/>
      <c r="L67" s="167" t="s">
        <v>589</v>
      </c>
      <c r="M67" s="583">
        <f t="shared" ref="M67:T67" si="92">M14+M15+M16+M17</f>
        <v>98</v>
      </c>
      <c r="N67" s="561">
        <f t="shared" si="92"/>
        <v>98</v>
      </c>
      <c r="O67" s="561">
        <f t="shared" si="92"/>
        <v>83</v>
      </c>
      <c r="P67" s="561">
        <f t="shared" si="92"/>
        <v>101</v>
      </c>
      <c r="Q67" s="561">
        <f t="shared" si="92"/>
        <v>87</v>
      </c>
      <c r="R67" s="561">
        <f t="shared" si="92"/>
        <v>102</v>
      </c>
      <c r="S67" s="561">
        <f t="shared" si="92"/>
        <v>74</v>
      </c>
      <c r="T67" s="561">
        <f t="shared" si="92"/>
        <v>104</v>
      </c>
      <c r="U67" s="561">
        <f t="shared" ref="U67:V67" si="93">U14+U15+U16+U17</f>
        <v>113</v>
      </c>
      <c r="V67" s="561">
        <f t="shared" si="93"/>
        <v>71</v>
      </c>
      <c r="W67" s="562">
        <f t="shared" ref="W67" si="94">W14+W15+W16+W17</f>
        <v>113</v>
      </c>
      <c r="X67" s="167" t="s">
        <v>589</v>
      </c>
      <c r="Y67" s="583">
        <f t="shared" ref="Y67" si="95">Y14+Y15+Y16+Y17</f>
        <v>98</v>
      </c>
      <c r="Z67" s="561">
        <f t="shared" ref="Z67:AB67" si="96">Z14+Z15+Z16+Z17</f>
        <v>92</v>
      </c>
      <c r="AA67" s="561">
        <f t="shared" si="96"/>
        <v>94.5</v>
      </c>
      <c r="AB67" s="561">
        <f t="shared" si="96"/>
        <v>89</v>
      </c>
      <c r="AC67" s="1206">
        <f t="shared" ref="AC67" si="97">AC14+AC15+AC16+AC17</f>
        <v>89</v>
      </c>
      <c r="AD67" s="336">
        <f t="shared" ref="AD67:AD90" si="98">(VLOOKUP($B67,$X$66:$AB$91,3,FALSE)-VLOOKUP($B67,$X$66:$AB$91,2,FALSE))/VLOOKUP($B67,$X$66:$AB$91,2,FALSE)</f>
        <v>-6.1224489795918366E-2</v>
      </c>
      <c r="AE67" s="336">
        <f t="shared" ref="AE67:AE90" si="99">(VLOOKUP($B67,$X$66:$AB$91,4,FALSE)-VLOOKUP($B67,$X$66:$AB$91,3,FALSE))/VLOOKUP($B67,$X$66:$AB$91,3,FALSE)</f>
        <v>2.717391304347826E-2</v>
      </c>
      <c r="AF67" s="336">
        <f t="shared" ref="AF67:AF90" si="100">(VLOOKUP($B67,$X$66:$AB$91,5,FALSE)-VLOOKUP($B67,$X$66:$AB$91,4,FALSE))/VLOOKUP($B67,$X$66:$AB$91,4,FALSE)</f>
        <v>-5.8201058201058198E-2</v>
      </c>
      <c r="AG67" s="1217">
        <f t="shared" ref="AG67:AG90" si="101">(VLOOKUP($B67,$X$66:$AC$91,6,FALSE)-VLOOKUP($B67,$X$66:$AC$91,5,FALSE))/VLOOKUP($B67,$X$66:$AC$91,5,FALSE)</f>
        <v>0</v>
      </c>
      <c r="AN67" s="167" t="s">
        <v>589</v>
      </c>
      <c r="AO67" s="583">
        <f t="shared" ref="AO67:AV67" si="102">AO14+AO15+AO16+AO17</f>
        <v>4.8738440000000001</v>
      </c>
      <c r="AP67" s="561">
        <f t="shared" si="102"/>
        <v>306.45010100000002</v>
      </c>
      <c r="AQ67" s="561">
        <f t="shared" si="102"/>
        <v>1853.6221809999997</v>
      </c>
      <c r="AR67" s="561">
        <f t="shared" si="102"/>
        <v>1523.4788330000001</v>
      </c>
      <c r="AS67" s="561">
        <f t="shared" si="102"/>
        <v>1166.0289750000002</v>
      </c>
      <c r="AT67" s="561">
        <f t="shared" si="102"/>
        <v>533.19044399999996</v>
      </c>
      <c r="AU67" s="561">
        <f t="shared" si="102"/>
        <v>2088.6438750000002</v>
      </c>
      <c r="AV67" s="562">
        <f t="shared" si="102"/>
        <v>2785.9743589999998</v>
      </c>
      <c r="AW67" s="583">
        <f t="shared" ref="AW67:BD67" si="103">AW14+AW15+AW16+AW17</f>
        <v>0</v>
      </c>
      <c r="AX67" s="561">
        <f t="shared" si="103"/>
        <v>339.22793059122267</v>
      </c>
      <c r="AY67" s="561">
        <f t="shared" si="103"/>
        <v>2000.7208683437934</v>
      </c>
      <c r="AZ67" s="561">
        <f t="shared" si="103"/>
        <v>1485.3608344238246</v>
      </c>
      <c r="BA67" s="561">
        <f t="shared" si="103"/>
        <v>986.63301786571424</v>
      </c>
      <c r="BB67" s="561">
        <f t="shared" si="103"/>
        <v>401.1538330097336</v>
      </c>
      <c r="BC67" s="561">
        <f t="shared" si="103"/>
        <v>2016.9448640025764</v>
      </c>
      <c r="BD67" s="562">
        <f t="shared" si="103"/>
        <v>2477.8044357554554</v>
      </c>
      <c r="BE67" s="583">
        <f t="shared" ref="BE67:BL67" si="104">BE14+BE15+BE16+BE17</f>
        <v>0</v>
      </c>
      <c r="BF67" s="561">
        <f t="shared" si="104"/>
        <v>301.33677145704098</v>
      </c>
      <c r="BG67" s="561">
        <f t="shared" si="104"/>
        <v>2092.7733386020527</v>
      </c>
      <c r="BH67" s="561">
        <f t="shared" si="104"/>
        <v>1446.0444379278731</v>
      </c>
      <c r="BI67" s="561">
        <f t="shared" si="104"/>
        <v>960.73964846074091</v>
      </c>
      <c r="BJ67" s="561">
        <f t="shared" si="104"/>
        <v>342.0912330577616</v>
      </c>
      <c r="BK67" s="561">
        <f t="shared" si="104"/>
        <v>1897.877695092513</v>
      </c>
      <c r="BL67" s="562">
        <f t="shared" si="104"/>
        <v>2687.2763972565531</v>
      </c>
      <c r="BN67" s="167" t="s">
        <v>589</v>
      </c>
      <c r="BO67" s="583">
        <f t="shared" ref="BO67:BT67" si="105">BO14+BO15+BO16+BO17</f>
        <v>1522.170963</v>
      </c>
      <c r="BP67" s="561">
        <f t="shared" si="105"/>
        <v>4150.1883160000007</v>
      </c>
      <c r="BQ67" s="561">
        <f t="shared" si="105"/>
        <v>1904.7366870000001</v>
      </c>
      <c r="BR67" s="561">
        <f t="shared" si="105"/>
        <v>1872.020524</v>
      </c>
      <c r="BS67" s="561">
        <f t="shared" si="105"/>
        <v>1190.1602809999999</v>
      </c>
      <c r="BT67" s="562">
        <f t="shared" si="105"/>
        <v>1147.1567990000001</v>
      </c>
      <c r="BU67" s="583">
        <f t="shared" ref="BU67:BZ67" si="106">BU14+BU15+BU16+BU17</f>
        <v>1552.7884796205803</v>
      </c>
      <c r="BV67" s="561">
        <f t="shared" si="106"/>
        <v>3574.5041748680242</v>
      </c>
      <c r="BW67" s="561">
        <f t="shared" si="106"/>
        <v>1952.6534362847033</v>
      </c>
      <c r="BX67" s="561">
        <f t="shared" si="106"/>
        <v>1796.5269261986721</v>
      </c>
      <c r="BY67" s="561">
        <f t="shared" si="106"/>
        <v>1404.9927991372394</v>
      </c>
      <c r="BZ67" s="562">
        <f t="shared" si="106"/>
        <v>977.16844906670713</v>
      </c>
      <c r="CA67" s="583">
        <f t="shared" ref="CA67:CF67" si="107">CA14+CA15+CA16+CA17</f>
        <v>1268.9390313301869</v>
      </c>
      <c r="CB67" s="561">
        <f t="shared" si="107"/>
        <v>3914.4329265338706</v>
      </c>
      <c r="CC67" s="561">
        <f t="shared" si="107"/>
        <v>1783.2521036995749</v>
      </c>
      <c r="CD67" s="561">
        <f t="shared" si="107"/>
        <v>1635.533470770745</v>
      </c>
      <c r="CE67" s="561">
        <f t="shared" si="107"/>
        <v>1494.8891465508991</v>
      </c>
      <c r="CF67" s="562">
        <f t="shared" si="107"/>
        <v>899.03187328405511</v>
      </c>
      <c r="CG67" s="429"/>
      <c r="CH67" s="167" t="s">
        <v>589</v>
      </c>
      <c r="CI67" s="583">
        <f t="shared" ref="CI67:CK67" si="108">CI14+CI15+CI16+CI17</f>
        <v>2677.810117</v>
      </c>
      <c r="CJ67" s="561">
        <f t="shared" si="108"/>
        <v>7254.9642709999998</v>
      </c>
      <c r="CK67" s="561">
        <f t="shared" si="108"/>
        <v>1853.659183</v>
      </c>
      <c r="CL67" s="583">
        <f t="shared" ref="CL67:CN67" si="109">CL14+CL15+CL16+CL17</f>
        <v>2700.4493847409553</v>
      </c>
      <c r="CM67" s="561">
        <f t="shared" si="109"/>
        <v>6817.9250376858108</v>
      </c>
      <c r="CN67" s="561">
        <f t="shared" si="109"/>
        <v>1740.2598427491612</v>
      </c>
      <c r="CO67" s="583">
        <f t="shared" ref="CO67:CQ67" si="110">CO14+CO15+CO16+CO17</f>
        <v>2675.1125136452461</v>
      </c>
      <c r="CP67" s="561">
        <f t="shared" si="110"/>
        <v>6443.2572814554997</v>
      </c>
      <c r="CQ67" s="562">
        <f t="shared" si="110"/>
        <v>1877.7087570685912</v>
      </c>
      <c r="CR67" s="429"/>
      <c r="DB67" s="139"/>
      <c r="DC67" s="139"/>
      <c r="DD67" s="139"/>
      <c r="DE67" s="139"/>
      <c r="DG67" s="167" t="s">
        <v>589</v>
      </c>
      <c r="DH67" s="829"/>
      <c r="DI67" s="830"/>
      <c r="DJ67" s="830"/>
      <c r="DK67" s="830"/>
      <c r="DL67" s="830"/>
      <c r="DM67" s="831"/>
      <c r="DO67" s="167" t="s">
        <v>589</v>
      </c>
      <c r="DP67" s="704">
        <f t="shared" ref="DP67:DR67" si="111">DP14+DP15+DP16+DP17</f>
        <v>6590.6782270000003</v>
      </c>
      <c r="DQ67" s="561">
        <f t="shared" si="111"/>
        <v>6358.797147693871</v>
      </c>
      <c r="DR67" s="562">
        <f t="shared" si="111"/>
        <v>6434.8343146437601</v>
      </c>
      <c r="DS67" s="63"/>
      <c r="DT67" s="167" t="s">
        <v>589</v>
      </c>
      <c r="DU67" s="583">
        <f t="shared" ref="DU67:DW67" si="112">DU14+DU15+DU16+DU17</f>
        <v>11582.43382</v>
      </c>
      <c r="DV67" s="561">
        <f t="shared" si="112"/>
        <v>11128.634366772581</v>
      </c>
      <c r="DW67" s="562">
        <f t="shared" si="112"/>
        <v>10868.078422200049</v>
      </c>
      <c r="DX67" s="63"/>
      <c r="DY67" s="167" t="s">
        <v>589</v>
      </c>
      <c r="DZ67" s="1092">
        <f t="shared" si="32"/>
        <v>1.7573963439074143</v>
      </c>
      <c r="EA67" s="790">
        <f t="shared" si="33"/>
        <v>1.7501162732968412</v>
      </c>
      <c r="EB67" s="779">
        <f t="shared" si="34"/>
        <v>1.6889445618619194</v>
      </c>
      <c r="ED67" s="541"/>
      <c r="EE67" s="167" t="s">
        <v>589</v>
      </c>
      <c r="EF67" s="583">
        <f t="shared" ref="EF67:EJ67" si="113">EF14+EF15+EF16+EF17</f>
        <v>3708.8307410000002</v>
      </c>
      <c r="EG67" s="561">
        <f t="shared" si="113"/>
        <v>348.53567799999996</v>
      </c>
      <c r="EH67" s="561">
        <f t="shared" si="113"/>
        <v>1330.5463770000001</v>
      </c>
      <c r="EI67" s="561">
        <f t="shared" si="113"/>
        <v>907.7065540000001</v>
      </c>
      <c r="EJ67" s="561">
        <f t="shared" si="113"/>
        <v>295.05887799999994</v>
      </c>
      <c r="EK67" s="583">
        <f t="shared" ref="EK67:EO67" si="114">EK14+EK15+EK16+EK17</f>
        <v>3649.6966172569382</v>
      </c>
      <c r="EL67" s="561">
        <f t="shared" si="114"/>
        <v>226.63381842791165</v>
      </c>
      <c r="EM67" s="561">
        <f t="shared" si="114"/>
        <v>1259.4963270638402</v>
      </c>
      <c r="EN67" s="561">
        <f t="shared" si="114"/>
        <v>917.07379832017568</v>
      </c>
      <c r="EO67" s="561">
        <f t="shared" si="114"/>
        <v>305.8965866250054</v>
      </c>
      <c r="EP67" s="583">
        <f t="shared" ref="EP67:ET67" si="115">EP14+EP15+EP16+EP17</f>
        <v>3757.2038714278428</v>
      </c>
      <c r="EQ67" s="561">
        <f t="shared" si="115"/>
        <v>277.58551524324844</v>
      </c>
      <c r="ER67" s="561">
        <f t="shared" si="115"/>
        <v>1299.526448431686</v>
      </c>
      <c r="ES67" s="561">
        <f t="shared" si="115"/>
        <v>781.80366105970495</v>
      </c>
      <c r="ET67" s="562">
        <f t="shared" si="115"/>
        <v>318.71481848127956</v>
      </c>
      <c r="EU67" s="561"/>
      <c r="EV67" s="167" t="s">
        <v>589</v>
      </c>
      <c r="EW67" s="583">
        <f t="shared" ref="EW67:FD67" si="116">EW14+EW15+EW16+EW17</f>
        <v>1349.2609619999998</v>
      </c>
      <c r="EX67" s="561">
        <f t="shared" si="116"/>
        <v>1245.0007350000001</v>
      </c>
      <c r="EY67" s="561">
        <f t="shared" si="116"/>
        <v>744.60962600000005</v>
      </c>
      <c r="EZ67" s="561">
        <f t="shared" si="116"/>
        <v>369.95941800000003</v>
      </c>
      <c r="FA67" s="583">
        <f t="shared" si="116"/>
        <v>2927.8892059999998</v>
      </c>
      <c r="FB67" s="561">
        <f t="shared" si="116"/>
        <v>4179.9394700000003</v>
      </c>
      <c r="FC67" s="561">
        <f t="shared" si="116"/>
        <v>2221.2373559999996</v>
      </c>
      <c r="FD67" s="561">
        <f t="shared" si="116"/>
        <v>757.19679299999996</v>
      </c>
      <c r="FE67" s="583">
        <f t="shared" ref="FE67:FL67" si="117">FE14+FE15+FE16+FE17</f>
        <v>1261.1100394130797</v>
      </c>
      <c r="FF67" s="561">
        <f t="shared" si="117"/>
        <v>1239.972273411179</v>
      </c>
      <c r="FG67" s="561">
        <f t="shared" si="117"/>
        <v>813.27880943319497</v>
      </c>
      <c r="FH67" s="562">
        <f t="shared" si="117"/>
        <v>335.3354949994843</v>
      </c>
      <c r="FI67" s="583">
        <f t="shared" si="117"/>
        <v>2494.6942784705248</v>
      </c>
      <c r="FJ67" s="561">
        <f t="shared" si="117"/>
        <v>4129.2570766617509</v>
      </c>
      <c r="FK67" s="561">
        <f t="shared" si="117"/>
        <v>2334.913434477628</v>
      </c>
      <c r="FL67" s="562">
        <f t="shared" si="117"/>
        <v>616.98109754209793</v>
      </c>
      <c r="FM67" s="703">
        <f t="shared" ref="FM67:FT67" si="118">FM14+FM15+FM16+FM17</f>
        <v>1511.1574377853631</v>
      </c>
      <c r="FN67" s="704">
        <f t="shared" si="118"/>
        <v>1162.7695273327881</v>
      </c>
      <c r="FO67" s="704">
        <f t="shared" si="118"/>
        <v>770.39587537791613</v>
      </c>
      <c r="FP67" s="173">
        <f t="shared" si="118"/>
        <v>309.47837613774419</v>
      </c>
      <c r="FQ67" s="703">
        <f t="shared" si="118"/>
        <v>2908.2074568150319</v>
      </c>
      <c r="FR67" s="704">
        <f t="shared" si="118"/>
        <v>3796.0550625381347</v>
      </c>
      <c r="FS67" s="704">
        <f t="shared" si="118"/>
        <v>2328.726832584035</v>
      </c>
      <c r="FT67" s="173">
        <f t="shared" si="118"/>
        <v>566.15003893266362</v>
      </c>
      <c r="FV67" s="167" t="s">
        <v>589</v>
      </c>
      <c r="FW67" s="583">
        <f t="shared" ref="FW67:GH67" si="119">FW14+FW15+FW16+FW17</f>
        <v>1396.470914</v>
      </c>
      <c r="FX67" s="561">
        <f t="shared" si="119"/>
        <v>480.58218599999998</v>
      </c>
      <c r="FY67" s="561">
        <f t="shared" si="119"/>
        <v>412.96266400000002</v>
      </c>
      <c r="FZ67" s="562">
        <f t="shared" si="119"/>
        <v>243.29604699999999</v>
      </c>
      <c r="GA67" s="583">
        <f t="shared" si="119"/>
        <v>1333.9287268026346</v>
      </c>
      <c r="GB67" s="561">
        <f t="shared" si="119"/>
        <v>488.74052011743845</v>
      </c>
      <c r="GC67" s="561">
        <f t="shared" si="119"/>
        <v>427.16998624608334</v>
      </c>
      <c r="GD67" s="562">
        <f t="shared" si="119"/>
        <v>236.08819656832165</v>
      </c>
      <c r="GE67" s="583">
        <f t="shared" si="119"/>
        <v>1380.9269110489631</v>
      </c>
      <c r="GF67" s="561">
        <f t="shared" si="119"/>
        <v>481.84424983985218</v>
      </c>
      <c r="GG67" s="561">
        <f t="shared" si="119"/>
        <v>334.29724145427031</v>
      </c>
      <c r="GH67" s="562">
        <f t="shared" si="119"/>
        <v>203.9298178655558</v>
      </c>
      <c r="GJ67" s="167" t="s">
        <v>589</v>
      </c>
      <c r="GK67" s="561">
        <f t="shared" ref="GK67:GM67" si="120">GK14+GK15+GK16+GK17</f>
        <v>7526.9919579999996</v>
      </c>
      <c r="GL67" s="561">
        <f t="shared" si="120"/>
        <v>7513.4950305151879</v>
      </c>
      <c r="GM67" s="562">
        <f t="shared" si="120"/>
        <v>7766.2061925307999</v>
      </c>
      <c r="GO67" s="167" t="s">
        <v>589</v>
      </c>
      <c r="GP67" s="583">
        <f t="shared" ref="GP67:GX67" si="121">GP14+GP15+GP16+GP17</f>
        <v>6591.678226</v>
      </c>
      <c r="GQ67" s="561">
        <f t="shared" si="121"/>
        <v>250.07766799999999</v>
      </c>
      <c r="GR67" s="562">
        <f t="shared" si="121"/>
        <v>685.23606399999994</v>
      </c>
      <c r="GS67" s="583">
        <f t="shared" si="121"/>
        <v>6358.797147693871</v>
      </c>
      <c r="GT67" s="561">
        <f t="shared" si="121"/>
        <v>268.62391937569413</v>
      </c>
      <c r="GU67" s="562">
        <f t="shared" si="121"/>
        <v>886.07396344562255</v>
      </c>
      <c r="GV67" s="583">
        <f t="shared" si="121"/>
        <v>6434.8343146437601</v>
      </c>
      <c r="GW67" s="561">
        <f t="shared" si="121"/>
        <v>329.21046161655664</v>
      </c>
      <c r="GX67" s="562">
        <f t="shared" si="121"/>
        <v>1002.1614162704791</v>
      </c>
      <c r="GZ67" s="167" t="s">
        <v>589</v>
      </c>
      <c r="HA67" s="583">
        <f t="shared" ref="HA67:HI67" si="122">HA14+HA15+HA16+HA17</f>
        <v>1668.3698869999998</v>
      </c>
      <c r="HB67" s="561">
        <f t="shared" si="122"/>
        <v>5829.9692450000002</v>
      </c>
      <c r="HC67" s="562">
        <f t="shared" si="122"/>
        <v>28.652826000000232</v>
      </c>
      <c r="HD67" s="583">
        <f t="shared" si="122"/>
        <v>1666.9488085599987</v>
      </c>
      <c r="HE67" s="561">
        <f t="shared" si="122"/>
        <v>5818.7818327893001</v>
      </c>
      <c r="HF67" s="562">
        <f t="shared" si="122"/>
        <v>27.76438916588836</v>
      </c>
      <c r="HG67" s="583">
        <f t="shared" si="122"/>
        <v>1533.001813833283</v>
      </c>
      <c r="HH67" s="561">
        <f t="shared" si="122"/>
        <v>6175.6010215402403</v>
      </c>
      <c r="HI67" s="562">
        <f t="shared" si="122"/>
        <v>57.603357157276832</v>
      </c>
      <c r="HK67" s="167" t="s">
        <v>589</v>
      </c>
      <c r="HL67" s="561">
        <f t="shared" ref="HL67:HO67" si="123">HL14+HL15+HL16+HL17</f>
        <v>6591.678226</v>
      </c>
      <c r="HM67" s="561">
        <f t="shared" ref="HM67" si="124">HM14+HM15+HM16+HM17</f>
        <v>21484.695911999999</v>
      </c>
      <c r="HN67" s="779">
        <f t="shared" si="10"/>
        <v>3.2593666097438536</v>
      </c>
      <c r="HO67" s="583">
        <f t="shared" si="123"/>
        <v>6358.797147693871</v>
      </c>
      <c r="HP67" s="561">
        <f t="shared" ref="HP67" si="125">HP14+HP15+HP16+HP17</f>
        <v>21091.435282451523</v>
      </c>
      <c r="HQ67" s="779">
        <f t="shared" si="11"/>
        <v>3.3168907251744462</v>
      </c>
      <c r="HR67" s="561">
        <f>HR14+HR15+HR16+HR17</f>
        <v>6434.8343146437601</v>
      </c>
      <c r="HS67" s="561">
        <f>HS14+HS15+HS16+HS17</f>
        <v>21147.955174100491</v>
      </c>
      <c r="HT67" s="784">
        <f t="shared" si="12"/>
        <v>3.2864801391970673</v>
      </c>
      <c r="HV67" s="167" t="s">
        <v>589</v>
      </c>
      <c r="HW67" s="583">
        <f>HW14+HW15+HW16+HW17</f>
        <v>1560.739908</v>
      </c>
      <c r="HX67" s="561">
        <f>HX14+HX15+HX16+HX17</f>
        <v>8971.6211399999993</v>
      </c>
      <c r="HY67" s="790">
        <f t="shared" si="13"/>
        <v>5.7483127675620374</v>
      </c>
      <c r="HZ67" s="561">
        <f>HZ14+HZ15+HZ16+HZ17</f>
        <v>5005.8955100000003</v>
      </c>
      <c r="IA67" s="561">
        <f>IA14+IA15+IA16+IA17</f>
        <v>12473.933070000001</v>
      </c>
      <c r="IB67" s="790">
        <f t="shared" si="14"/>
        <v>2.4918484704847543</v>
      </c>
      <c r="IC67" s="583">
        <f>IC14+IC15+IC16+IC17</f>
        <v>1528.3678501399027</v>
      </c>
      <c r="ID67" s="561">
        <f>ID14+ID15+ID16+ID17</f>
        <v>8791.7452579538276</v>
      </c>
      <c r="IE67" s="790">
        <f t="shared" si="15"/>
        <v>5.7523751609594873</v>
      </c>
      <c r="IF67" s="561">
        <f>IF14+IF15+IF16+IF17</f>
        <v>4802.6649083880802</v>
      </c>
      <c r="IG67" s="561">
        <f>IG14+IG15+IG16+IG17</f>
        <v>12266.159976120356</v>
      </c>
      <c r="IH67" s="790">
        <f t="shared" ref="IH67:IH91" si="126">IG67/IF67</f>
        <v>2.5540320239075873</v>
      </c>
      <c r="II67" s="583">
        <f>II14+II15+II16+II17</f>
        <v>1418.2522772226971</v>
      </c>
      <c r="IJ67" s="561">
        <f>IJ14+IJ15+IJ16+IJ17</f>
        <v>8479.8803864329602</v>
      </c>
      <c r="IK67" s="790">
        <f t="shared" si="17"/>
        <v>5.979105778725593</v>
      </c>
      <c r="IL67" s="561">
        <f>IL14+IL15+IL16+IL17</f>
        <v>4971.7394150968339</v>
      </c>
      <c r="IM67" s="561">
        <f>IM14+IM15+IM16+IM17</f>
        <v>12603.5950479073</v>
      </c>
      <c r="IN67" s="779">
        <f t="shared" si="18"/>
        <v>2.535047394003819</v>
      </c>
      <c r="IP67" s="167" t="s">
        <v>589</v>
      </c>
      <c r="IQ67" s="583">
        <f>IQ14+IQ15+IQ16+IQ17</f>
        <v>1286.6032170000001</v>
      </c>
      <c r="IR67" s="561">
        <f t="shared" ref="IR67:JH67" si="127">IR14+IR15+IR16+IR17</f>
        <v>1587.207872</v>
      </c>
      <c r="IS67" s="561">
        <f t="shared" si="127"/>
        <v>1321.7485590000001</v>
      </c>
      <c r="IT67" s="561">
        <f t="shared" si="127"/>
        <v>859.139996</v>
      </c>
      <c r="IU67" s="561">
        <f t="shared" si="127"/>
        <v>1536.978582</v>
      </c>
      <c r="IV67" s="561">
        <f t="shared" si="127"/>
        <v>21484.695911999999</v>
      </c>
      <c r="IW67" s="703">
        <f t="shared" si="127"/>
        <v>1159.2515116993734</v>
      </c>
      <c r="IX67" s="704">
        <f t="shared" si="127"/>
        <v>1554.5626387297068</v>
      </c>
      <c r="IY67" s="704">
        <f t="shared" si="127"/>
        <v>1262.2172141495587</v>
      </c>
      <c r="IZ67" s="704">
        <f t="shared" si="127"/>
        <v>872.68587547850859</v>
      </c>
      <c r="JA67" s="704">
        <f t="shared" si="127"/>
        <v>1510.0799076367232</v>
      </c>
      <c r="JB67" s="173">
        <f t="shared" si="127"/>
        <v>21091.435282451523</v>
      </c>
      <c r="JC67" s="703">
        <f t="shared" si="127"/>
        <v>1167.761539859323</v>
      </c>
      <c r="JD67" s="704">
        <f t="shared" si="127"/>
        <v>1621.3404884555612</v>
      </c>
      <c r="JE67" s="704">
        <f t="shared" si="127"/>
        <v>1370.6878452871629</v>
      </c>
      <c r="JF67" s="704">
        <f t="shared" si="127"/>
        <v>792.48946184485806</v>
      </c>
      <c r="JG67" s="704">
        <f t="shared" si="127"/>
        <v>1482.554979196854</v>
      </c>
      <c r="JH67" s="173">
        <f t="shared" si="127"/>
        <v>21147.955174100491</v>
      </c>
      <c r="JJ67" s="167" t="s">
        <v>589</v>
      </c>
      <c r="JK67" s="583">
        <f t="shared" ref="JK67:JV67" si="128">JK14+JK15+JK16+JK17</f>
        <v>2463.7441680000002</v>
      </c>
      <c r="JL67" s="561">
        <f t="shared" si="128"/>
        <v>3822.0901699999999</v>
      </c>
      <c r="JM67" s="561">
        <f t="shared" si="128"/>
        <v>119.206946</v>
      </c>
      <c r="JN67" s="562">
        <f t="shared" si="128"/>
        <v>186.63694100000001</v>
      </c>
      <c r="JO67" s="583">
        <f t="shared" si="128"/>
        <v>2475.0663815724888</v>
      </c>
      <c r="JP67" s="561">
        <f t="shared" si="128"/>
        <v>3507.1958365390851</v>
      </c>
      <c r="JQ67" s="561">
        <f t="shared" si="128"/>
        <v>256.1763785805486</v>
      </c>
      <c r="JR67" s="562">
        <f t="shared" si="128"/>
        <v>120.358551001748</v>
      </c>
      <c r="JS67" s="583">
        <f t="shared" si="128"/>
        <v>2333.802598987806</v>
      </c>
      <c r="JT67" s="561">
        <f t="shared" si="128"/>
        <v>3861.1139056091006</v>
      </c>
      <c r="JU67" s="561">
        <f t="shared" si="128"/>
        <v>145.78865512171251</v>
      </c>
      <c r="JV67" s="562">
        <f t="shared" si="128"/>
        <v>94.129154925137698</v>
      </c>
      <c r="JX67" s="167" t="s">
        <v>589</v>
      </c>
      <c r="JY67" s="583">
        <f t="shared" ref="JY67:KB67" si="129">JY14+JY15+JY16+JY17</f>
        <v>1787.710264921305</v>
      </c>
      <c r="JZ67" s="561">
        <f t="shared" si="129"/>
        <v>1998.052514919322</v>
      </c>
      <c r="KA67" s="561">
        <f t="shared" si="129"/>
        <v>929.35157719039796</v>
      </c>
      <c r="KB67" s="562">
        <f t="shared" si="129"/>
        <v>1719.719957612735</v>
      </c>
      <c r="KC67" s="604"/>
      <c r="KD67" s="167" t="s">
        <v>589</v>
      </c>
      <c r="KE67" s="583">
        <f t="shared" ref="KE67:KV67" si="130">KE14+KE15+KE16+KE17</f>
        <v>529.65439170781701</v>
      </c>
      <c r="KF67" s="561">
        <f t="shared" si="130"/>
        <v>660.104678302411</v>
      </c>
      <c r="KG67" s="561">
        <f t="shared" si="130"/>
        <v>1386.7208357703739</v>
      </c>
      <c r="KH67" s="561">
        <f t="shared" si="130"/>
        <v>1192.3447471981378</v>
      </c>
      <c r="KI67" s="561">
        <f t="shared" si="130"/>
        <v>979.15448488199365</v>
      </c>
      <c r="KJ67" s="562">
        <f t="shared" si="130"/>
        <v>186.39764824970879</v>
      </c>
      <c r="KK67" s="583">
        <f t="shared" si="130"/>
        <v>680.1589986120805</v>
      </c>
      <c r="KL67" s="561">
        <f t="shared" si="130"/>
        <v>363.33571525434115</v>
      </c>
      <c r="KM67" s="561">
        <f t="shared" si="130"/>
        <v>260.91635492653648</v>
      </c>
      <c r="KN67" s="561">
        <f t="shared" si="130"/>
        <v>43.464595329540401</v>
      </c>
      <c r="KO67" s="561">
        <f t="shared" si="130"/>
        <v>46.438242460393077</v>
      </c>
      <c r="KP67" s="562">
        <f t="shared" si="130"/>
        <v>19.369755800226791</v>
      </c>
      <c r="KQ67" s="583">
        <f t="shared" si="130"/>
        <v>1209.8133903198973</v>
      </c>
      <c r="KR67" s="561">
        <f t="shared" si="130"/>
        <v>1032.440402695217</v>
      </c>
      <c r="KS67" s="561">
        <f t="shared" si="130"/>
        <v>1655.6273664938678</v>
      </c>
      <c r="KT67" s="561">
        <f t="shared" si="130"/>
        <v>1246.8307387304021</v>
      </c>
      <c r="KU67" s="561">
        <f t="shared" si="130"/>
        <v>1039.197156750447</v>
      </c>
      <c r="KV67" s="562">
        <f t="shared" si="130"/>
        <v>208.99401582795829</v>
      </c>
      <c r="KW67" s="429"/>
      <c r="KX67" s="167" t="s">
        <v>589</v>
      </c>
      <c r="KY67" s="583">
        <f t="shared" ref="KY67:LA67" si="131">KY14+KY15+KY16+KY17</f>
        <v>2081.7968340000002</v>
      </c>
      <c r="KZ67" s="561">
        <f t="shared" si="131"/>
        <v>3530.5497949999999</v>
      </c>
      <c r="LA67" s="562">
        <f t="shared" si="131"/>
        <v>978.33159799999987</v>
      </c>
      <c r="LB67" s="583">
        <f t="shared" ref="LB67:LD67" si="132">LB14+LB15+LB16+LB17</f>
        <v>2151.5995778866572</v>
      </c>
      <c r="LC67" s="561">
        <f t="shared" si="132"/>
        <v>3283.9446771401863</v>
      </c>
      <c r="LD67" s="562">
        <f t="shared" si="132"/>
        <v>923.25289266702748</v>
      </c>
      <c r="LE67" s="583">
        <f t="shared" ref="LE67:LG67" si="133">LE14+LE15+LE16+LE17</f>
        <v>2175.7376956724238</v>
      </c>
      <c r="LF67" s="561">
        <f t="shared" si="133"/>
        <v>3313.5125527986711</v>
      </c>
      <c r="LG67" s="562">
        <f t="shared" si="133"/>
        <v>945.58406617266496</v>
      </c>
      <c r="LH67" s="426"/>
      <c r="LI67" s="167" t="s">
        <v>589</v>
      </c>
      <c r="LJ67" s="583">
        <f t="shared" ref="LJ67:MA67" si="134">LJ14+LJ15+LJ16+LJ17</f>
        <v>5396.7667469999997</v>
      </c>
      <c r="LK67" s="561">
        <f t="shared" si="134"/>
        <v>4781.9959170000002</v>
      </c>
      <c r="LL67" s="561">
        <f t="shared" si="134"/>
        <v>614.77083100000004</v>
      </c>
      <c r="LM67" s="561">
        <f t="shared" si="134"/>
        <v>2186.0421740000002</v>
      </c>
      <c r="LN67" s="561">
        <f t="shared" si="134"/>
        <v>366.45764199999996</v>
      </c>
      <c r="LO67" s="562">
        <f t="shared" si="134"/>
        <v>461.33685999999994</v>
      </c>
      <c r="LP67" s="583">
        <f t="shared" si="134"/>
        <v>5240.3576743253579</v>
      </c>
      <c r="LQ67" s="561">
        <f t="shared" si="134"/>
        <v>4420.3659444782597</v>
      </c>
      <c r="LR67" s="561">
        <f t="shared" si="134"/>
        <v>819.99172984709776</v>
      </c>
      <c r="LS67" s="561">
        <f t="shared" si="134"/>
        <v>1851.9651878891473</v>
      </c>
      <c r="LT67" s="561">
        <f t="shared" si="134"/>
        <v>419.95416765572543</v>
      </c>
      <c r="LU67" s="562">
        <f t="shared" si="134"/>
        <v>453.30891293595522</v>
      </c>
      <c r="LV67" s="583">
        <f t="shared" si="134"/>
        <v>5140.9392999711963</v>
      </c>
      <c r="LW67" s="561">
        <f t="shared" si="134"/>
        <v>4494.8107246915588</v>
      </c>
      <c r="LX67" s="561">
        <f t="shared" si="134"/>
        <v>646.12857527964297</v>
      </c>
      <c r="LY67" s="561">
        <f t="shared" si="134"/>
        <v>2157.7092663748208</v>
      </c>
      <c r="LZ67" s="561">
        <f t="shared" si="134"/>
        <v>217.5649402648566</v>
      </c>
      <c r="MA67" s="562">
        <f t="shared" si="134"/>
        <v>333.21725715968319</v>
      </c>
      <c r="MC67" s="167" t="s">
        <v>589</v>
      </c>
      <c r="MD67" s="583">
        <f t="shared" ref="MD67:MU67" si="135">MD14+MD15+MD16+MD17</f>
        <v>4.8738440000000001</v>
      </c>
      <c r="ME67" s="561">
        <f t="shared" si="135"/>
        <v>277.98966099999996</v>
      </c>
      <c r="MF67" s="561">
        <f t="shared" si="135"/>
        <v>1780.9552509999999</v>
      </c>
      <c r="MG67" s="561">
        <f t="shared" si="135"/>
        <v>1350.8551520000001</v>
      </c>
      <c r="MH67" s="561">
        <f t="shared" si="135"/>
        <v>966.15846699999997</v>
      </c>
      <c r="MI67" s="562">
        <f t="shared" si="135"/>
        <v>401.163543</v>
      </c>
      <c r="MJ67" s="583">
        <f t="shared" si="135"/>
        <v>0</v>
      </c>
      <c r="MK67" s="561">
        <f t="shared" si="135"/>
        <v>298.70550257333093</v>
      </c>
      <c r="ML67" s="561">
        <f t="shared" si="135"/>
        <v>1873.4286905053382</v>
      </c>
      <c r="MM67" s="561">
        <f t="shared" si="135"/>
        <v>1238.8686399805451</v>
      </c>
      <c r="MN67" s="561">
        <f t="shared" si="135"/>
        <v>784.52974218356349</v>
      </c>
      <c r="MO67" s="562">
        <f t="shared" si="135"/>
        <v>230.83336454640551</v>
      </c>
      <c r="MP67" s="583">
        <f t="shared" si="135"/>
        <v>0</v>
      </c>
      <c r="MQ67" s="561">
        <f t="shared" si="135"/>
        <v>248.7608583774105</v>
      </c>
      <c r="MR67" s="561">
        <f t="shared" si="135"/>
        <v>1950.4021709784788</v>
      </c>
      <c r="MS67" s="561">
        <f t="shared" si="135"/>
        <v>1277.1106309395491</v>
      </c>
      <c r="MT67" s="561">
        <f t="shared" si="135"/>
        <v>763.42596355702494</v>
      </c>
      <c r="MU67" s="562">
        <f t="shared" si="135"/>
        <v>252.11109779293412</v>
      </c>
      <c r="MW67" s="167" t="s">
        <v>589</v>
      </c>
      <c r="MX67" s="583">
        <f t="shared" ref="MX67:NF67" si="136">MX14+MX15+MX16+MX17</f>
        <v>4826.9831340000001</v>
      </c>
      <c r="MY67" s="561">
        <f t="shared" si="136"/>
        <v>4115.943663</v>
      </c>
      <c r="MZ67" s="561">
        <f t="shared" si="136"/>
        <v>711.03946700000006</v>
      </c>
      <c r="NA67" s="583">
        <f t="shared" si="136"/>
        <v>4463.9242295666209</v>
      </c>
      <c r="NB67" s="561">
        <f t="shared" si="136"/>
        <v>3711.3545330320649</v>
      </c>
      <c r="NC67" s="562">
        <f t="shared" si="136"/>
        <v>752.56969653455621</v>
      </c>
      <c r="ND67" s="583">
        <f t="shared" si="136"/>
        <v>4580.5836886392999</v>
      </c>
      <c r="NE67" s="561">
        <f t="shared" si="136"/>
        <v>3740.4980257448447</v>
      </c>
      <c r="NF67" s="562">
        <f t="shared" si="136"/>
        <v>840.08566289445605</v>
      </c>
      <c r="NH67" s="167" t="s">
        <v>589</v>
      </c>
      <c r="NI67" s="583">
        <f t="shared" ref="NI67:NR67" si="137">NI14+NI15+NI16+NI17</f>
        <v>2862.4718153026879</v>
      </c>
      <c r="NJ67" s="562">
        <f t="shared" si="137"/>
        <v>848.88271772937696</v>
      </c>
      <c r="NK67" s="583">
        <f t="shared" si="137"/>
        <v>416.89524632936872</v>
      </c>
      <c r="NL67" s="561">
        <f t="shared" si="137"/>
        <v>331.22965386338319</v>
      </c>
      <c r="NM67" s="562">
        <f t="shared" si="137"/>
        <v>4.4447963418043903</v>
      </c>
      <c r="NN67" s="583">
        <f t="shared" si="137"/>
        <v>2848.480452873122</v>
      </c>
      <c r="NO67" s="562">
        <f t="shared" si="137"/>
        <v>892.01757287171949</v>
      </c>
      <c r="NP67" s="583">
        <f t="shared" si="137"/>
        <v>533.58838252000839</v>
      </c>
      <c r="NQ67" s="561">
        <f t="shared" si="137"/>
        <v>298.68340166368608</v>
      </c>
      <c r="NR67" s="562">
        <f t="shared" si="137"/>
        <v>7.8138787107613901</v>
      </c>
      <c r="NS67" s="136"/>
      <c r="NT67" s="167" t="s">
        <v>589</v>
      </c>
      <c r="NU67" s="583">
        <f t="shared" ref="NU67:OB67" si="138">NU14+NU15+NU16+NU17</f>
        <v>554.57802158030677</v>
      </c>
      <c r="NV67" s="561">
        <f t="shared" si="138"/>
        <v>55.511891429396023</v>
      </c>
      <c r="NW67" s="561">
        <f t="shared" si="138"/>
        <v>22.51218032240482</v>
      </c>
      <c r="NX67" s="562">
        <f t="shared" si="138"/>
        <v>216.28062439726926</v>
      </c>
      <c r="NY67" s="583">
        <f t="shared" si="138"/>
        <v>558.57726707144298</v>
      </c>
      <c r="NZ67" s="561">
        <f t="shared" si="138"/>
        <v>32.368450482406971</v>
      </c>
      <c r="OA67" s="561">
        <f t="shared" si="138"/>
        <v>7.6202227960194797</v>
      </c>
      <c r="OB67" s="562">
        <f t="shared" si="138"/>
        <v>293.45163252185012</v>
      </c>
      <c r="OC67" s="553"/>
      <c r="OD67" s="167" t="s">
        <v>589</v>
      </c>
      <c r="OE67" s="583">
        <f t="shared" ref="OE67:OR67" si="139">OE14+OE15+OE16+OE17</f>
        <v>265.96371721273624</v>
      </c>
      <c r="OF67" s="561">
        <f t="shared" si="139"/>
        <v>379.00475959662487</v>
      </c>
      <c r="OG67" s="561">
        <f t="shared" si="139"/>
        <v>344.3381889634349</v>
      </c>
      <c r="OH67" s="561">
        <f t="shared" si="139"/>
        <v>370.2253256503347</v>
      </c>
      <c r="OI67" s="561">
        <f t="shared" si="139"/>
        <v>2237.878719943832</v>
      </c>
      <c r="OJ67" s="561">
        <f t="shared" si="139"/>
        <v>250.90847835547208</v>
      </c>
      <c r="OK67" s="562">
        <f t="shared" si="139"/>
        <v>104.1458748188132</v>
      </c>
      <c r="OL67" s="583">
        <f t="shared" si="139"/>
        <v>348.81219154098039</v>
      </c>
      <c r="OM67" s="561">
        <f t="shared" si="139"/>
        <v>382.44502386762991</v>
      </c>
      <c r="ON67" s="561">
        <f t="shared" si="139"/>
        <v>355.83482058773228</v>
      </c>
      <c r="OO67" s="561">
        <f t="shared" si="139"/>
        <v>373.46025635480567</v>
      </c>
      <c r="OP67" s="561">
        <f t="shared" si="139"/>
        <v>2632.7472999679608</v>
      </c>
      <c r="OQ67" s="561">
        <f t="shared" si="139"/>
        <v>908.22537021110691</v>
      </c>
      <c r="OR67" s="562">
        <f t="shared" si="139"/>
        <v>5812.7065943052703</v>
      </c>
      <c r="OT67" s="167" t="s">
        <v>589</v>
      </c>
      <c r="OU67" s="583">
        <f t="shared" ref="OU67:PF67" si="140">OU14+OU15+OU16+OU17</f>
        <v>1360.9016790000001</v>
      </c>
      <c r="OV67" s="561">
        <f t="shared" si="140"/>
        <v>897.856403</v>
      </c>
      <c r="OW67" s="561">
        <f t="shared" si="140"/>
        <v>1277.943974</v>
      </c>
      <c r="OX67" s="562">
        <f t="shared" si="140"/>
        <v>3726.068988</v>
      </c>
      <c r="OY67" s="583">
        <f t="shared" si="140"/>
        <v>1124.2500271713104</v>
      </c>
      <c r="OZ67" s="561">
        <f t="shared" si="140"/>
        <v>781.8937981972266</v>
      </c>
      <c r="PA67" s="561">
        <f t="shared" si="140"/>
        <v>1142.527297156324</v>
      </c>
      <c r="PB67" s="562">
        <f t="shared" si="140"/>
        <v>4101.3781758395435</v>
      </c>
      <c r="PC67" s="583">
        <f t="shared" si="140"/>
        <v>694.67834926786952</v>
      </c>
      <c r="PD67" s="561">
        <f t="shared" si="140"/>
        <v>629.02200540382694</v>
      </c>
      <c r="PE67" s="561">
        <f t="shared" si="140"/>
        <v>1128.735908267631</v>
      </c>
      <c r="PF67" s="562">
        <f t="shared" si="140"/>
        <v>4311.5448591313689</v>
      </c>
      <c r="PH67" s="167" t="s">
        <v>589</v>
      </c>
      <c r="PI67" s="583">
        <f t="shared" ref="PI67:PP67" si="141">PI14+PI15+PI16+PI17</f>
        <v>248.49009684063702</v>
      </c>
      <c r="PJ67" s="561">
        <f t="shared" si="141"/>
        <v>305.18898858137828</v>
      </c>
      <c r="PK67" s="561">
        <f t="shared" si="141"/>
        <v>437.99921304783231</v>
      </c>
      <c r="PL67" s="562">
        <f t="shared" si="141"/>
        <v>2098.9969819721587</v>
      </c>
      <c r="PM67" s="583">
        <f t="shared" si="141"/>
        <v>446.18825242723346</v>
      </c>
      <c r="PN67" s="561">
        <f t="shared" si="141"/>
        <v>323.83301682244803</v>
      </c>
      <c r="PO67" s="561">
        <f t="shared" si="141"/>
        <v>690.736695219799</v>
      </c>
      <c r="PP67" s="562">
        <f t="shared" si="141"/>
        <v>2212.5478771592093</v>
      </c>
      <c r="PQ67" s="65"/>
      <c r="PR67" s="169" t="s">
        <v>589</v>
      </c>
      <c r="PS67" s="1038">
        <f t="shared" ref="PS67:PW67" si="142">PS14+PS15+PS16+PS17</f>
        <v>194.20040246597941</v>
      </c>
      <c r="PT67" s="1039">
        <f t="shared" si="142"/>
        <v>990.90358907567497</v>
      </c>
      <c r="PU67" s="1039">
        <f t="shared" si="142"/>
        <v>473.86110894705297</v>
      </c>
      <c r="PV67" s="1039">
        <f t="shared" si="142"/>
        <v>53.744173069554051</v>
      </c>
      <c r="PW67" s="1039">
        <f t="shared" si="142"/>
        <v>1757.4872374715349</v>
      </c>
      <c r="PX67" s="1040">
        <f t="shared" ref="PX67" si="143">PX14+PX15+PX16+PX17</f>
        <v>1107.3871745633469</v>
      </c>
      <c r="PZ67" s="169" t="s">
        <v>589</v>
      </c>
      <c r="QA67" s="1038">
        <f t="shared" ref="QA67:QF67" si="144">QA14+QA15+QA16+QA17</f>
        <v>3059.8540200089169</v>
      </c>
      <c r="QB67" s="1039">
        <f t="shared" si="144"/>
        <v>1520.729668630381</v>
      </c>
      <c r="QC67" s="1039">
        <f t="shared" si="144"/>
        <v>916.77873691693605</v>
      </c>
      <c r="QD67" s="1039">
        <f t="shared" ref="QD67" si="145">QD14+QD15+QD16+QD17</f>
        <v>167.89931968354782</v>
      </c>
      <c r="QE67" s="1039">
        <f t="shared" si="144"/>
        <v>424.71094231114506</v>
      </c>
      <c r="QF67" s="1040">
        <f t="shared" si="144"/>
        <v>11.34066971875335</v>
      </c>
    </row>
    <row r="68" spans="1:448" ht="13.5" customHeight="1">
      <c r="A68" s="136"/>
      <c r="B68" s="167" t="s">
        <v>540</v>
      </c>
      <c r="C68" s="561">
        <f t="shared" ref="C68:E68" si="146">C18</f>
        <v>4000.4655130000001</v>
      </c>
      <c r="D68" s="561">
        <f t="shared" si="146"/>
        <v>3876.526589890108</v>
      </c>
      <c r="E68" s="562">
        <f t="shared" si="146"/>
        <v>3581.8981214816499</v>
      </c>
      <c r="F68" s="136"/>
      <c r="G68" s="167" t="s">
        <v>540</v>
      </c>
      <c r="H68" s="318">
        <f t="shared" si="5"/>
        <v>-6.2744705192189221E-3</v>
      </c>
      <c r="I68" s="668">
        <f t="shared" si="6"/>
        <v>-1.5685024890341293E-2</v>
      </c>
      <c r="J68" s="612"/>
      <c r="K68" s="63"/>
      <c r="L68" s="167" t="s">
        <v>540</v>
      </c>
      <c r="M68" s="583">
        <f t="shared" ref="M68:T68" si="147">M18</f>
        <v>28</v>
      </c>
      <c r="N68" s="561">
        <f t="shared" si="147"/>
        <v>30</v>
      </c>
      <c r="O68" s="561">
        <f t="shared" si="147"/>
        <v>27</v>
      </c>
      <c r="P68" s="561">
        <f t="shared" si="147"/>
        <v>24</v>
      </c>
      <c r="Q68" s="561">
        <f t="shared" si="147"/>
        <v>29</v>
      </c>
      <c r="R68" s="561">
        <f t="shared" si="147"/>
        <v>24</v>
      </c>
      <c r="S68" s="561">
        <f t="shared" si="147"/>
        <v>24</v>
      </c>
      <c r="T68" s="561">
        <f t="shared" si="147"/>
        <v>24</v>
      </c>
      <c r="U68" s="561">
        <f t="shared" ref="U68:V68" si="148">U18</f>
        <v>24</v>
      </c>
      <c r="V68" s="561">
        <f t="shared" si="148"/>
        <v>17</v>
      </c>
      <c r="W68" s="562">
        <f t="shared" ref="W68" si="149">W18</f>
        <v>22</v>
      </c>
      <c r="X68" s="167" t="s">
        <v>540</v>
      </c>
      <c r="Y68" s="583">
        <f t="shared" ref="Y68:AB68" si="150">Y18</f>
        <v>29</v>
      </c>
      <c r="Z68" s="561">
        <f t="shared" si="150"/>
        <v>25.5</v>
      </c>
      <c r="AA68" s="561">
        <f t="shared" si="150"/>
        <v>26.5</v>
      </c>
      <c r="AB68" s="561">
        <f t="shared" si="150"/>
        <v>24</v>
      </c>
      <c r="AC68" s="1206">
        <f t="shared" ref="AC68" si="151">AC18</f>
        <v>24</v>
      </c>
      <c r="AD68" s="336">
        <f t="shared" si="98"/>
        <v>-0.1206896551724138</v>
      </c>
      <c r="AE68" s="336">
        <f t="shared" si="99"/>
        <v>3.9215686274509803E-2</v>
      </c>
      <c r="AF68" s="336">
        <f t="shared" si="100"/>
        <v>-9.4339622641509441E-2</v>
      </c>
      <c r="AG68" s="1217">
        <f t="shared" si="101"/>
        <v>0</v>
      </c>
      <c r="AN68" s="167" t="s">
        <v>540</v>
      </c>
      <c r="AO68" s="583">
        <f t="shared" ref="AO68:AV68" si="152">AO18</f>
        <v>3.7013229999999999</v>
      </c>
      <c r="AP68" s="561">
        <f t="shared" si="152"/>
        <v>71.779117999999997</v>
      </c>
      <c r="AQ68" s="561">
        <f t="shared" si="152"/>
        <v>657.58665299999996</v>
      </c>
      <c r="AR68" s="561">
        <f t="shared" si="152"/>
        <v>701.34060599999998</v>
      </c>
      <c r="AS68" s="561">
        <f t="shared" si="152"/>
        <v>358.82775400000003</v>
      </c>
      <c r="AT68" s="561">
        <f t="shared" si="152"/>
        <v>154.14257499999999</v>
      </c>
      <c r="AU68" s="561">
        <f t="shared" si="152"/>
        <v>589.15419199999997</v>
      </c>
      <c r="AV68" s="562">
        <f t="shared" si="152"/>
        <v>949.93485099999998</v>
      </c>
      <c r="AW68" s="583">
        <f t="shared" ref="AW68:BD68" si="153">AW18</f>
        <v>0</v>
      </c>
      <c r="AX68" s="561">
        <f t="shared" si="153"/>
        <v>73.267892053548763</v>
      </c>
      <c r="AY68" s="561">
        <f t="shared" si="153"/>
        <v>684.21819603170104</v>
      </c>
      <c r="AZ68" s="561">
        <f t="shared" si="153"/>
        <v>512.3865614236953</v>
      </c>
      <c r="BA68" s="561">
        <f t="shared" si="153"/>
        <v>351.4904069572396</v>
      </c>
      <c r="BB68" s="561">
        <f t="shared" si="153"/>
        <v>174.93095296349856</v>
      </c>
      <c r="BC68" s="561">
        <f t="shared" si="153"/>
        <v>714.98802342390115</v>
      </c>
      <c r="BD68" s="562">
        <f t="shared" si="153"/>
        <v>930.24222302854764</v>
      </c>
      <c r="BE68" s="583">
        <f t="shared" ref="BE68:BL68" si="154">BE18</f>
        <v>0</v>
      </c>
      <c r="BF68" s="561">
        <f t="shared" si="154"/>
        <v>88.619394600343696</v>
      </c>
      <c r="BG68" s="561">
        <f t="shared" si="154"/>
        <v>696.711040813213</v>
      </c>
      <c r="BH68" s="561">
        <f t="shared" si="154"/>
        <v>559.40858588004505</v>
      </c>
      <c r="BI68" s="561">
        <f t="shared" si="154"/>
        <v>337.42714540580897</v>
      </c>
      <c r="BJ68" s="561">
        <f t="shared" si="154"/>
        <v>148.84384374350699</v>
      </c>
      <c r="BK68" s="561">
        <f t="shared" si="154"/>
        <v>586.18764307893105</v>
      </c>
      <c r="BL68" s="562">
        <f t="shared" si="154"/>
        <v>801.08245211588905</v>
      </c>
      <c r="BN68" s="167" t="s">
        <v>540</v>
      </c>
      <c r="BO68" s="583">
        <f t="shared" ref="BO68:BT68" si="155">BO18</f>
        <v>509.998447</v>
      </c>
      <c r="BP68" s="561">
        <f t="shared" si="155"/>
        <v>1389.3051720000001</v>
      </c>
      <c r="BQ68" s="561">
        <f t="shared" si="155"/>
        <v>732.60680500000001</v>
      </c>
      <c r="BR68" s="561">
        <f t="shared" si="155"/>
        <v>673.31714499999998</v>
      </c>
      <c r="BS68" s="561">
        <f t="shared" si="155"/>
        <v>416.33345400000002</v>
      </c>
      <c r="BT68" s="562">
        <f t="shared" si="155"/>
        <v>278.90449100000001</v>
      </c>
      <c r="BU68" s="583">
        <f t="shared" ref="BU68:BZ68" si="156">BU18</f>
        <v>438.0023316634373</v>
      </c>
      <c r="BV68" s="561">
        <f t="shared" si="156"/>
        <v>1438.0411663320394</v>
      </c>
      <c r="BW68" s="561">
        <f t="shared" si="156"/>
        <v>653.58909643487686</v>
      </c>
      <c r="BX68" s="561">
        <f t="shared" si="156"/>
        <v>492.55621045256157</v>
      </c>
      <c r="BY68" s="561">
        <f t="shared" si="156"/>
        <v>502.98336715218608</v>
      </c>
      <c r="BZ68" s="562">
        <f t="shared" si="156"/>
        <v>351.35441785500649</v>
      </c>
      <c r="CA68" s="583">
        <f t="shared" ref="CA68:CF68" si="157">CA18</f>
        <v>356.61800873621797</v>
      </c>
      <c r="CB68" s="561">
        <f t="shared" si="157"/>
        <v>1331.67187328399</v>
      </c>
      <c r="CC68" s="561">
        <f t="shared" si="157"/>
        <v>643.26032297463098</v>
      </c>
      <c r="CD68" s="561">
        <f t="shared" si="157"/>
        <v>476.82281017041299</v>
      </c>
      <c r="CE68" s="561">
        <f t="shared" si="157"/>
        <v>497.76232930195698</v>
      </c>
      <c r="CF68" s="562">
        <f t="shared" si="157"/>
        <v>275.76277701444297</v>
      </c>
      <c r="CG68" s="429"/>
      <c r="CH68" s="167" t="s">
        <v>540</v>
      </c>
      <c r="CI68" s="583">
        <f t="shared" ref="CI68:CK68" si="158">CI18</f>
        <v>1029.1788180000001</v>
      </c>
      <c r="CJ68" s="561">
        <f t="shared" si="158"/>
        <v>2454.643748</v>
      </c>
      <c r="CK68" s="561">
        <f t="shared" si="158"/>
        <v>516.64294700000005</v>
      </c>
      <c r="CL68" s="583">
        <f t="shared" ref="CL68:CN68" si="159">CL18</f>
        <v>952.62950873690556</v>
      </c>
      <c r="CM68" s="561">
        <f t="shared" si="159"/>
        <v>2247.5131933627658</v>
      </c>
      <c r="CN68" s="561">
        <f t="shared" si="159"/>
        <v>676.38388779043635</v>
      </c>
      <c r="CO68" s="583">
        <f t="shared" ref="CO68:CQ68" si="160">CO18</f>
        <v>827.75952792067403</v>
      </c>
      <c r="CP68" s="561">
        <f t="shared" si="160"/>
        <v>2170.0021578083101</v>
      </c>
      <c r="CQ68" s="562">
        <f t="shared" si="160"/>
        <v>584.13643575266997</v>
      </c>
      <c r="CR68" s="429"/>
      <c r="DB68" s="139"/>
      <c r="DC68" s="139"/>
      <c r="DD68" s="139"/>
      <c r="DE68" s="139"/>
      <c r="DG68" s="167" t="s">
        <v>540</v>
      </c>
      <c r="DH68" s="829"/>
      <c r="DI68" s="830"/>
      <c r="DJ68" s="830"/>
      <c r="DK68" s="830"/>
      <c r="DL68" s="830"/>
      <c r="DM68" s="831"/>
      <c r="DO68" s="167" t="s">
        <v>540</v>
      </c>
      <c r="DP68" s="704">
        <f t="shared" ref="DP68:DR68" si="161">DP18</f>
        <v>2074.8631350000001</v>
      </c>
      <c r="DQ68" s="561">
        <f t="shared" si="161"/>
        <v>2061.3295314726656</v>
      </c>
      <c r="DR68" s="562">
        <f t="shared" si="161"/>
        <v>2028.0419787990099</v>
      </c>
      <c r="DS68" s="63"/>
      <c r="DT68" s="167" t="s">
        <v>540</v>
      </c>
      <c r="DU68" s="583">
        <f t="shared" ref="DU68:DW68" si="162">DU18</f>
        <v>3702.4658760000002</v>
      </c>
      <c r="DV68" s="561">
        <f t="shared" si="162"/>
        <v>3608.5267993355201</v>
      </c>
      <c r="DW68" s="562">
        <f t="shared" si="162"/>
        <v>3325.8978615430901</v>
      </c>
      <c r="DX68" s="63"/>
      <c r="DY68" s="167" t="s">
        <v>540</v>
      </c>
      <c r="DZ68" s="1092">
        <f t="shared" si="32"/>
        <v>1.784438603946761</v>
      </c>
      <c r="EA68" s="790">
        <f t="shared" si="33"/>
        <v>1.7505822064061236</v>
      </c>
      <c r="EB68" s="779">
        <f t="shared" si="34"/>
        <v>1.6399551371775154</v>
      </c>
      <c r="ED68" s="541"/>
      <c r="EE68" s="167" t="s">
        <v>540</v>
      </c>
      <c r="EF68" s="583">
        <f t="shared" ref="EF68:EJ68" si="163">EF18</f>
        <v>1131.6336229999999</v>
      </c>
      <c r="EG68" s="561">
        <f t="shared" si="163"/>
        <v>83.567604000000003</v>
      </c>
      <c r="EH68" s="561">
        <f t="shared" si="163"/>
        <v>433.86635799999999</v>
      </c>
      <c r="EI68" s="561">
        <f t="shared" si="163"/>
        <v>332.21987200000001</v>
      </c>
      <c r="EJ68" s="561">
        <f t="shared" si="163"/>
        <v>93.575677999999996</v>
      </c>
      <c r="EK68" s="583">
        <f t="shared" ref="EK68:EO68" si="164">EK18</f>
        <v>1131.1531609913741</v>
      </c>
      <c r="EL68" s="561">
        <f t="shared" si="164"/>
        <v>95.861813946430857</v>
      </c>
      <c r="EM68" s="561">
        <f t="shared" si="164"/>
        <v>467.96477391387748</v>
      </c>
      <c r="EN68" s="561">
        <f t="shared" si="164"/>
        <v>279.68701991583009</v>
      </c>
      <c r="EO68" s="561">
        <f t="shared" si="164"/>
        <v>86.662762705153057</v>
      </c>
      <c r="EP68" s="583">
        <f t="shared" ref="EP68:ET68" si="165">EP18</f>
        <v>1221.68946317977</v>
      </c>
      <c r="EQ68" s="561">
        <f t="shared" si="165"/>
        <v>68.642458883729006</v>
      </c>
      <c r="ER68" s="561">
        <f t="shared" si="165"/>
        <v>419.31965618447703</v>
      </c>
      <c r="ES68" s="561">
        <f t="shared" si="165"/>
        <v>244.64632222583401</v>
      </c>
      <c r="ET68" s="562">
        <f t="shared" si="165"/>
        <v>73.744078325196696</v>
      </c>
      <c r="EV68" s="167" t="s">
        <v>540</v>
      </c>
      <c r="EW68" s="583">
        <f t="shared" ref="EW68:FD68" si="166">EW18</f>
        <v>338.71025900000001</v>
      </c>
      <c r="EX68" s="561">
        <f t="shared" si="166"/>
        <v>493.74755299999998</v>
      </c>
      <c r="EY68" s="561">
        <f t="shared" si="166"/>
        <v>208.03686099999999</v>
      </c>
      <c r="EZ68" s="561">
        <f t="shared" si="166"/>
        <v>92.138947999999999</v>
      </c>
      <c r="FA68" s="583">
        <f t="shared" si="166"/>
        <v>809.26829099999998</v>
      </c>
      <c r="FB68" s="561">
        <f t="shared" si="166"/>
        <v>1514.1442649999999</v>
      </c>
      <c r="FC68" s="561">
        <f t="shared" si="166"/>
        <v>717.18914500000005</v>
      </c>
      <c r="FD68" s="561">
        <f t="shared" si="166"/>
        <v>189.86568299999999</v>
      </c>
      <c r="FE68" s="583">
        <f t="shared" ref="FE68:FL68" si="167">FE18</f>
        <v>365.66172147408037</v>
      </c>
      <c r="FF68" s="561">
        <f t="shared" si="167"/>
        <v>413.29196870229714</v>
      </c>
      <c r="FG68" s="561">
        <f t="shared" si="167"/>
        <v>239.43639461078982</v>
      </c>
      <c r="FH68" s="562">
        <f t="shared" si="167"/>
        <v>112.76307620420674</v>
      </c>
      <c r="FI68" s="583">
        <f t="shared" si="167"/>
        <v>850.58574465053061</v>
      </c>
      <c r="FJ68" s="561">
        <f t="shared" si="167"/>
        <v>1341.7183868145487</v>
      </c>
      <c r="FK68" s="561">
        <f t="shared" si="167"/>
        <v>791.9617530269727</v>
      </c>
      <c r="FL68" s="562">
        <f t="shared" si="167"/>
        <v>215.25856051616131</v>
      </c>
      <c r="FM68" s="703">
        <f t="shared" ref="FM68:FT68" si="168">FM18</f>
        <v>406.23405741727998</v>
      </c>
      <c r="FN68" s="704">
        <f t="shared" si="168"/>
        <v>497.01736510488399</v>
      </c>
      <c r="FO68" s="704">
        <f t="shared" si="168"/>
        <v>232.909953880035</v>
      </c>
      <c r="FP68" s="173">
        <f t="shared" si="168"/>
        <v>85.528086777574401</v>
      </c>
      <c r="FQ68" s="703">
        <f t="shared" si="168"/>
        <v>772.11177683974904</v>
      </c>
      <c r="FR68" s="704">
        <f t="shared" si="168"/>
        <v>1269.3271633780901</v>
      </c>
      <c r="FS68" s="704">
        <f t="shared" si="168"/>
        <v>770.96935426740595</v>
      </c>
      <c r="FT68" s="173">
        <f t="shared" si="168"/>
        <v>173.87157558316599</v>
      </c>
      <c r="FV68" s="167" t="s">
        <v>540</v>
      </c>
      <c r="FW68" s="583">
        <f t="shared" ref="FW68:GH68" si="169">FW18</f>
        <v>444.35636199999999</v>
      </c>
      <c r="FX68" s="561">
        <f t="shared" si="169"/>
        <v>193.67035999999999</v>
      </c>
      <c r="FY68" s="561">
        <f t="shared" si="169"/>
        <v>141.21160699999999</v>
      </c>
      <c r="FZ68" s="562">
        <f t="shared" si="169"/>
        <v>80.423580999999999</v>
      </c>
      <c r="GA68" s="583">
        <f t="shared" si="169"/>
        <v>493.92648191302891</v>
      </c>
      <c r="GB68" s="561">
        <f t="shared" si="169"/>
        <v>137.53159779903106</v>
      </c>
      <c r="GC68" s="561">
        <f t="shared" si="169"/>
        <v>136.62712921942585</v>
      </c>
      <c r="GD68" s="562">
        <f t="shared" si="169"/>
        <v>66.229347603374961</v>
      </c>
      <c r="GE68" s="583">
        <f t="shared" si="169"/>
        <v>435.97283532258501</v>
      </c>
      <c r="GF68" s="561">
        <f t="shared" si="169"/>
        <v>139.85785739992201</v>
      </c>
      <c r="GG68" s="561">
        <f t="shared" si="169"/>
        <v>121.86736294238401</v>
      </c>
      <c r="GH68" s="562">
        <f t="shared" si="169"/>
        <v>40.012001070616577</v>
      </c>
      <c r="GJ68" s="167" t="s">
        <v>540</v>
      </c>
      <c r="GK68" s="561">
        <f t="shared" ref="GK68:GM68" si="170">GK18</f>
        <v>2290.9974670000001</v>
      </c>
      <c r="GL68" s="561">
        <f t="shared" si="170"/>
        <v>2350.4983913880069</v>
      </c>
      <c r="GM68" s="562">
        <f t="shared" si="170"/>
        <v>2413.00206127212</v>
      </c>
      <c r="GO68" s="167" t="s">
        <v>540</v>
      </c>
      <c r="GP68" s="583">
        <f t="shared" ref="GP68:GX68" si="171">GP18</f>
        <v>2075.8631340000002</v>
      </c>
      <c r="GQ68" s="561">
        <f t="shared" si="171"/>
        <v>57.194960000000002</v>
      </c>
      <c r="GR68" s="562">
        <f t="shared" si="171"/>
        <v>157.93937299999999</v>
      </c>
      <c r="GS68" s="583">
        <f t="shared" si="171"/>
        <v>2058.3295338172038</v>
      </c>
      <c r="GT68" s="561">
        <f t="shared" si="171"/>
        <v>41.845347565856059</v>
      </c>
      <c r="GU68" s="562">
        <f t="shared" si="171"/>
        <v>250.323510004947</v>
      </c>
      <c r="GV68" s="583">
        <f t="shared" si="171"/>
        <v>2030.04198082978</v>
      </c>
      <c r="GW68" s="561">
        <f t="shared" si="171"/>
        <v>103.39453010465699</v>
      </c>
      <c r="GX68" s="562">
        <f t="shared" si="171"/>
        <v>279.56555033768302</v>
      </c>
      <c r="GZ68" s="167" t="s">
        <v>540</v>
      </c>
      <c r="HA68" s="583">
        <f t="shared" ref="HA68:HI68" si="172">HA18</f>
        <v>617.14724999999999</v>
      </c>
      <c r="HB68" s="561">
        <f t="shared" si="172"/>
        <v>1652.1399269999999</v>
      </c>
      <c r="HC68" s="562">
        <f t="shared" si="172"/>
        <v>21.710289999999986</v>
      </c>
      <c r="HD68" s="583">
        <f t="shared" si="172"/>
        <v>587.98327213569212</v>
      </c>
      <c r="HE68" s="561">
        <f t="shared" si="172"/>
        <v>1747.708996597795</v>
      </c>
      <c r="HF68" s="562">
        <f t="shared" si="172"/>
        <v>14.80612265451964</v>
      </c>
      <c r="HG68" s="583">
        <f t="shared" si="172"/>
        <v>628.56832803311602</v>
      </c>
      <c r="HH68" s="561">
        <f t="shared" si="172"/>
        <v>1776.65676457326</v>
      </c>
      <c r="HI68" s="562">
        <f t="shared" si="172"/>
        <v>7.7769686657438797</v>
      </c>
      <c r="HK68" s="167" t="s">
        <v>540</v>
      </c>
      <c r="HL68" s="561">
        <f t="shared" ref="HL68:HO68" si="173">HL18</f>
        <v>2075.8631340000002</v>
      </c>
      <c r="HM68" s="561">
        <f t="shared" ref="HM68" si="174">HM18</f>
        <v>6958.2414559999997</v>
      </c>
      <c r="HN68" s="779">
        <f t="shared" si="10"/>
        <v>3.3519750613770469</v>
      </c>
      <c r="HO68" s="583">
        <f t="shared" si="173"/>
        <v>2058.3295338172038</v>
      </c>
      <c r="HP68" s="561">
        <f t="shared" ref="HP68" si="175">HP18</f>
        <v>6860.7983640439952</v>
      </c>
      <c r="HQ68" s="779">
        <f t="shared" si="11"/>
        <v>3.3331875442318215</v>
      </c>
      <c r="HR68" s="561">
        <f>HR18</f>
        <v>2030.04198082978</v>
      </c>
      <c r="HS68" s="561">
        <f>HS18</f>
        <v>6570.5206391465699</v>
      </c>
      <c r="HT68" s="784">
        <f t="shared" si="12"/>
        <v>3.2366427399993318</v>
      </c>
      <c r="HV68" s="167" t="s">
        <v>540</v>
      </c>
      <c r="HW68" s="583">
        <f>HW18</f>
        <v>583.18406800000002</v>
      </c>
      <c r="HX68" s="561">
        <f>HX18</f>
        <v>3291.2718629999999</v>
      </c>
      <c r="HY68" s="790">
        <f t="shared" si="13"/>
        <v>5.6436244465443792</v>
      </c>
      <c r="HZ68" s="561">
        <f>HZ18</f>
        <v>1470.9687759999999</v>
      </c>
      <c r="IA68" s="561">
        <f>IA18</f>
        <v>3596.0218369999998</v>
      </c>
      <c r="IB68" s="790">
        <f t="shared" si="14"/>
        <v>2.4446622495812922</v>
      </c>
      <c r="IC68" s="583">
        <f>IC18</f>
        <v>539.35482821042933</v>
      </c>
      <c r="ID68" s="561">
        <f>ID18</f>
        <v>3138.9329740272601</v>
      </c>
      <c r="IE68" s="790">
        <f t="shared" si="15"/>
        <v>5.8197921105892192</v>
      </c>
      <c r="IF68" s="561">
        <f>IF18</f>
        <v>1504.1685829522546</v>
      </c>
      <c r="IG68" s="561">
        <f>IG18</f>
        <v>3707.059267362215</v>
      </c>
      <c r="IH68" s="790">
        <f t="shared" si="126"/>
        <v>2.4645237969844533</v>
      </c>
      <c r="II68" s="583">
        <f>II18</f>
        <v>554.63369944265105</v>
      </c>
      <c r="IJ68" s="561">
        <f>IJ18</f>
        <v>3126.2641073770201</v>
      </c>
      <c r="IK68" s="790">
        <f t="shared" si="17"/>
        <v>5.636628482038847</v>
      </c>
      <c r="IL68" s="561">
        <f>IL18</f>
        <v>1467.63131272139</v>
      </c>
      <c r="IM68" s="561">
        <f>IM18</f>
        <v>3434.4795610730398</v>
      </c>
      <c r="IN68" s="779">
        <f t="shared" si="18"/>
        <v>2.3401514612716832</v>
      </c>
      <c r="IP68" s="167" t="s">
        <v>540</v>
      </c>
      <c r="IQ68" s="583">
        <f>IQ18</f>
        <v>377.07685300000003</v>
      </c>
      <c r="IR68" s="561">
        <f t="shared" ref="IR68:JH68" si="176">IR18</f>
        <v>501.51495499999999</v>
      </c>
      <c r="IS68" s="561">
        <f t="shared" si="176"/>
        <v>421.73945300000003</v>
      </c>
      <c r="IT68" s="561">
        <f t="shared" si="176"/>
        <v>285.84913999999998</v>
      </c>
      <c r="IU68" s="561">
        <f t="shared" si="176"/>
        <v>489.68273199999999</v>
      </c>
      <c r="IV68" s="561">
        <f t="shared" si="176"/>
        <v>6958.2414559999997</v>
      </c>
      <c r="IW68" s="703">
        <f t="shared" si="176"/>
        <v>383.22677552457401</v>
      </c>
      <c r="IX68" s="704">
        <f t="shared" si="176"/>
        <v>485.39017026738588</v>
      </c>
      <c r="IY68" s="704">
        <f t="shared" si="176"/>
        <v>454.89206131441301</v>
      </c>
      <c r="IZ68" s="704">
        <f t="shared" si="176"/>
        <v>270.1867288061253</v>
      </c>
      <c r="JA68" s="704">
        <f t="shared" si="176"/>
        <v>464.6337979047056</v>
      </c>
      <c r="JB68" s="173">
        <f t="shared" si="176"/>
        <v>6860.7983640439952</v>
      </c>
      <c r="JC68" s="703">
        <f t="shared" si="176"/>
        <v>440.14679899768203</v>
      </c>
      <c r="JD68" s="704">
        <f t="shared" si="176"/>
        <v>479.384635176595</v>
      </c>
      <c r="JE68" s="704">
        <f t="shared" si="176"/>
        <v>440.31045508965099</v>
      </c>
      <c r="JF68" s="704">
        <f t="shared" si="176"/>
        <v>249.41773354892999</v>
      </c>
      <c r="JG68" s="704">
        <f t="shared" si="176"/>
        <v>420.78235801692398</v>
      </c>
      <c r="JH68" s="173">
        <f t="shared" si="176"/>
        <v>6570.5206391465699</v>
      </c>
      <c r="JJ68" s="167" t="s">
        <v>540</v>
      </c>
      <c r="JK68" s="583">
        <f t="shared" ref="JK68:JV68" si="177">JK18</f>
        <v>914.09993199999997</v>
      </c>
      <c r="JL68" s="561">
        <f t="shared" si="177"/>
        <v>1033.244817</v>
      </c>
      <c r="JM68" s="561">
        <f t="shared" si="177"/>
        <v>62.093069999999997</v>
      </c>
      <c r="JN68" s="562">
        <f t="shared" si="177"/>
        <v>66.425314999999998</v>
      </c>
      <c r="JO68" s="583">
        <f t="shared" si="177"/>
        <v>860.42413051894926</v>
      </c>
      <c r="JP68" s="561">
        <f t="shared" si="177"/>
        <v>1105.0377317283308</v>
      </c>
      <c r="JQ68" s="561">
        <f t="shared" si="177"/>
        <v>32.610754790222622</v>
      </c>
      <c r="JR68" s="562">
        <f t="shared" si="177"/>
        <v>60.256916779701328</v>
      </c>
      <c r="JS68" s="583">
        <f t="shared" si="177"/>
        <v>904.85889259832402</v>
      </c>
      <c r="JT68" s="561">
        <f t="shared" si="177"/>
        <v>1013.1936862265904</v>
      </c>
      <c r="JU68" s="561">
        <f t="shared" si="177"/>
        <v>77.960409471949603</v>
      </c>
      <c r="JV68" s="562">
        <f t="shared" si="177"/>
        <v>34.028992532917698</v>
      </c>
      <c r="JX68" s="167" t="s">
        <v>540</v>
      </c>
      <c r="JY68" s="583">
        <f t="shared" ref="JY68:KB68" si="178">JY18</f>
        <v>560.35369675165498</v>
      </c>
      <c r="JZ68" s="561">
        <f t="shared" si="178"/>
        <v>561.94065233636604</v>
      </c>
      <c r="KA68" s="561">
        <f t="shared" si="178"/>
        <v>286.68959344853198</v>
      </c>
      <c r="KB68" s="562">
        <f t="shared" si="178"/>
        <v>621.05803829322895</v>
      </c>
      <c r="KC68" s="604"/>
      <c r="KD68" s="167" t="s">
        <v>540</v>
      </c>
      <c r="KE68" s="583">
        <f t="shared" ref="KE68:KV68" si="179">KE18</f>
        <v>233.252708395539</v>
      </c>
      <c r="KF68" s="561">
        <f t="shared" si="179"/>
        <v>45.329851670484302</v>
      </c>
      <c r="KG68" s="561">
        <f t="shared" si="179"/>
        <v>549.80425245952199</v>
      </c>
      <c r="KH68" s="561">
        <f t="shared" si="179"/>
        <v>329.33124518256602</v>
      </c>
      <c r="KI68" s="561">
        <f t="shared" si="179"/>
        <v>205.82294083530201</v>
      </c>
      <c r="KJ68" s="562">
        <f t="shared" si="179"/>
        <v>97.941972131291195</v>
      </c>
      <c r="KK68" s="583">
        <f t="shared" si="179"/>
        <v>260.977521653743</v>
      </c>
      <c r="KL68" s="561">
        <f t="shared" si="179"/>
        <v>165.604038503092</v>
      </c>
      <c r="KM68" s="561">
        <f t="shared" si="179"/>
        <v>86.113355496183203</v>
      </c>
      <c r="KN68" s="561">
        <f t="shared" si="179"/>
        <v>6.7361098846198404</v>
      </c>
      <c r="KO68" s="561">
        <f t="shared" si="179"/>
        <v>27.653002785258401</v>
      </c>
      <c r="KP68" s="562">
        <f t="shared" si="179"/>
        <v>7.5496711197552298</v>
      </c>
      <c r="KQ68" s="583">
        <f t="shared" si="179"/>
        <v>495.23023106466701</v>
      </c>
      <c r="KR68" s="561">
        <f t="shared" si="179"/>
        <v>210.933890173576</v>
      </c>
      <c r="KS68" s="561">
        <f t="shared" si="179"/>
        <v>635.91760795570497</v>
      </c>
      <c r="KT68" s="561">
        <f t="shared" si="179"/>
        <v>336.06735506718599</v>
      </c>
      <c r="KU68" s="561">
        <f t="shared" si="179"/>
        <v>236.64068474889899</v>
      </c>
      <c r="KV68" s="562">
        <f t="shared" si="179"/>
        <v>109.103869773065</v>
      </c>
      <c r="KW68" s="429"/>
      <c r="KX68" s="167" t="s">
        <v>540</v>
      </c>
      <c r="KY68" s="583">
        <f t="shared" ref="KY68:LA68" si="180">KY18</f>
        <v>461.92403599999989</v>
      </c>
      <c r="KZ68" s="561">
        <f t="shared" si="180"/>
        <v>1166.263042</v>
      </c>
      <c r="LA68" s="562">
        <f t="shared" si="180"/>
        <v>446.67605700000001</v>
      </c>
      <c r="LB68" s="583">
        <f t="shared" ref="LB68:LD68" si="181">LB18</f>
        <v>484.92598365045592</v>
      </c>
      <c r="LC68" s="561">
        <f t="shared" si="181"/>
        <v>1175.2504845182505</v>
      </c>
      <c r="LD68" s="562">
        <f t="shared" si="181"/>
        <v>401.15306330395924</v>
      </c>
      <c r="LE68" s="583">
        <f t="shared" ref="LE68:LG68" si="182">LE18</f>
        <v>637.58674756186974</v>
      </c>
      <c r="LF68" s="561">
        <f t="shared" si="182"/>
        <v>1075.6245531801401</v>
      </c>
      <c r="LG68" s="562">
        <f t="shared" si="182"/>
        <v>314.830678057</v>
      </c>
      <c r="LH68" s="426"/>
      <c r="LI68" s="167" t="s">
        <v>540</v>
      </c>
      <c r="LJ68" s="583">
        <f t="shared" ref="LJ68:MA68" si="183">LJ18</f>
        <v>1948.987889</v>
      </c>
      <c r="LK68" s="561">
        <f t="shared" si="183"/>
        <v>1731.4838749999999</v>
      </c>
      <c r="LL68" s="561">
        <f t="shared" si="183"/>
        <v>217.50401299999999</v>
      </c>
      <c r="LM68" s="561">
        <f t="shared" si="183"/>
        <v>778.97025900000006</v>
      </c>
      <c r="LN68" s="561">
        <f t="shared" si="183"/>
        <v>121.10449300000001</v>
      </c>
      <c r="LO68" s="562">
        <f t="shared" si="183"/>
        <v>124.761478</v>
      </c>
      <c r="LP68" s="583">
        <f t="shared" si="183"/>
        <v>1777.3876741607171</v>
      </c>
      <c r="LQ68" s="561">
        <f t="shared" si="183"/>
        <v>1574.2908288498118</v>
      </c>
      <c r="LR68" s="561">
        <f t="shared" si="183"/>
        <v>203.09684531090571</v>
      </c>
      <c r="LS68" s="561">
        <f t="shared" si="183"/>
        <v>753.33781166947222</v>
      </c>
      <c r="LT68" s="561">
        <f t="shared" si="183"/>
        <v>115.56521786574946</v>
      </c>
      <c r="LU68" s="562">
        <f t="shared" si="183"/>
        <v>115.84966674029511</v>
      </c>
      <c r="LV68" s="583">
        <f t="shared" si="183"/>
        <v>1809.98245841778</v>
      </c>
      <c r="LW68" s="561">
        <f t="shared" si="183"/>
        <v>1571.33539548928</v>
      </c>
      <c r="LX68" s="561">
        <f t="shared" si="183"/>
        <v>238.64706292850499</v>
      </c>
      <c r="LY68" s="561">
        <f t="shared" si="183"/>
        <v>623.98976177391103</v>
      </c>
      <c r="LZ68" s="561">
        <f t="shared" si="183"/>
        <v>74.600849598120405</v>
      </c>
      <c r="MA68" s="562">
        <f t="shared" si="183"/>
        <v>132.570607202948</v>
      </c>
      <c r="MC68" s="167" t="s">
        <v>540</v>
      </c>
      <c r="MD68" s="583">
        <f t="shared" ref="MD68:MU68" si="184">MD18</f>
        <v>3.7013229999999999</v>
      </c>
      <c r="ME68" s="561">
        <f t="shared" si="184"/>
        <v>60.770541999999999</v>
      </c>
      <c r="MF68" s="561">
        <f t="shared" si="184"/>
        <v>622.724829</v>
      </c>
      <c r="MG68" s="561">
        <f t="shared" si="184"/>
        <v>646.20877599999994</v>
      </c>
      <c r="MH68" s="561">
        <f t="shared" si="184"/>
        <v>288.24305099999998</v>
      </c>
      <c r="MI68" s="562">
        <f t="shared" si="184"/>
        <v>112.835351</v>
      </c>
      <c r="MJ68" s="583">
        <f t="shared" si="184"/>
        <v>0</v>
      </c>
      <c r="MK68" s="561">
        <f t="shared" si="184"/>
        <v>66.795407930206125</v>
      </c>
      <c r="ML68" s="561">
        <f t="shared" si="184"/>
        <v>635.89060377666601</v>
      </c>
      <c r="MM68" s="561">
        <f t="shared" si="184"/>
        <v>467.85269854968487</v>
      </c>
      <c r="MN68" s="561">
        <f t="shared" si="184"/>
        <v>268.13473335750149</v>
      </c>
      <c r="MO68" s="562">
        <f t="shared" si="184"/>
        <v>140.61738132818951</v>
      </c>
      <c r="MP68" s="583">
        <f t="shared" si="184"/>
        <v>0</v>
      </c>
      <c r="MQ68" s="561">
        <f t="shared" si="184"/>
        <v>77.619383431108503</v>
      </c>
      <c r="MR68" s="561">
        <f t="shared" si="184"/>
        <v>627.54243466265495</v>
      </c>
      <c r="MS68" s="561">
        <f t="shared" si="184"/>
        <v>485.66724425585397</v>
      </c>
      <c r="MT68" s="561">
        <f t="shared" si="184"/>
        <v>280.85908216424502</v>
      </c>
      <c r="MU68" s="562">
        <f t="shared" si="184"/>
        <v>104.647256052339</v>
      </c>
      <c r="MW68" s="167" t="s">
        <v>540</v>
      </c>
      <c r="MX68" s="583">
        <f t="shared" ref="MX68:NF68" si="185">MX18</f>
        <v>1757.4652759999999</v>
      </c>
      <c r="MY68" s="561">
        <f t="shared" si="185"/>
        <v>1514.1580280000001</v>
      </c>
      <c r="MZ68" s="561">
        <f t="shared" si="185"/>
        <v>243.30724799999999</v>
      </c>
      <c r="NA68" s="583">
        <f t="shared" si="185"/>
        <v>1616.1259654226344</v>
      </c>
      <c r="NB68" s="561">
        <f t="shared" si="185"/>
        <v>1373.4927173709491</v>
      </c>
      <c r="NC68" s="562">
        <f t="shared" si="185"/>
        <v>242.6332480516852</v>
      </c>
      <c r="ND68" s="583">
        <f t="shared" si="185"/>
        <v>1623.88013807078</v>
      </c>
      <c r="NE68" s="561">
        <f t="shared" si="185"/>
        <v>1357.39405140744</v>
      </c>
      <c r="NF68" s="562">
        <f t="shared" si="185"/>
        <v>266.48608666334297</v>
      </c>
      <c r="NH68" s="167" t="s">
        <v>540</v>
      </c>
      <c r="NI68" s="583">
        <f t="shared" ref="NI68:NR68" si="186">NI18</f>
        <v>1045.9839717843836</v>
      </c>
      <c r="NJ68" s="562">
        <f t="shared" si="186"/>
        <v>327.50874558656579</v>
      </c>
      <c r="NK68" s="583">
        <f t="shared" si="186"/>
        <v>126.5837313569413</v>
      </c>
      <c r="NL68" s="561">
        <f t="shared" si="186"/>
        <v>116.04951669474386</v>
      </c>
      <c r="NM68" s="562">
        <f t="shared" si="186"/>
        <v>0</v>
      </c>
      <c r="NN68" s="583">
        <f t="shared" si="186"/>
        <v>965.84989691303497</v>
      </c>
      <c r="NO68" s="562">
        <f t="shared" si="186"/>
        <v>391.54415449440614</v>
      </c>
      <c r="NP68" s="583">
        <f t="shared" si="186"/>
        <v>160.11927760980299</v>
      </c>
      <c r="NQ68" s="561">
        <f t="shared" si="186"/>
        <v>106.366809053539</v>
      </c>
      <c r="NR68" s="562">
        <f t="shared" si="186"/>
        <v>0</v>
      </c>
      <c r="NS68" s="136"/>
      <c r="NT68" s="167" t="s">
        <v>540</v>
      </c>
      <c r="NU68" s="583">
        <f t="shared" ref="NU68:OB68" si="187">NU18</f>
        <v>208.53477657241157</v>
      </c>
      <c r="NV68" s="561">
        <f t="shared" si="187"/>
        <v>19.193352073391289</v>
      </c>
      <c r="NW68" s="561">
        <f t="shared" si="187"/>
        <v>21.372468365733202</v>
      </c>
      <c r="NX68" s="562">
        <f t="shared" si="187"/>
        <v>78.408148575029756</v>
      </c>
      <c r="NY68" s="583">
        <f t="shared" si="187"/>
        <v>244.30420974484699</v>
      </c>
      <c r="NZ68" s="561">
        <f t="shared" si="187"/>
        <v>26.919500524008701</v>
      </c>
      <c r="OA68" s="561">
        <f t="shared" si="187"/>
        <v>17.904993802379401</v>
      </c>
      <c r="OB68" s="562">
        <f t="shared" si="187"/>
        <v>102.415450423171</v>
      </c>
      <c r="OC68" s="553"/>
      <c r="OD68" s="167" t="s">
        <v>540</v>
      </c>
      <c r="OE68" s="583">
        <f t="shared" ref="OE68:OR68" si="188">OE18</f>
        <v>65.437985231740797</v>
      </c>
      <c r="OF68" s="561">
        <f t="shared" si="188"/>
        <v>102.17734426995899</v>
      </c>
      <c r="OG68" s="561">
        <f t="shared" si="188"/>
        <v>116.073577575504</v>
      </c>
      <c r="OH68" s="561">
        <f t="shared" si="188"/>
        <v>108.791515197078</v>
      </c>
      <c r="OI68" s="561">
        <f t="shared" si="188"/>
        <v>698.80748332426003</v>
      </c>
      <c r="OJ68" s="561">
        <f t="shared" si="188"/>
        <v>71.188822797557094</v>
      </c>
      <c r="OK68" s="562">
        <f t="shared" si="188"/>
        <v>38.9415755005816</v>
      </c>
      <c r="OL68" s="583">
        <f t="shared" si="188"/>
        <v>92.977326560873806</v>
      </c>
      <c r="OM68" s="561">
        <f t="shared" si="188"/>
        <v>105.654672578093</v>
      </c>
      <c r="ON68" s="561">
        <f t="shared" si="188"/>
        <v>116.073577575504</v>
      </c>
      <c r="OO68" s="561">
        <f t="shared" si="188"/>
        <v>115.403744765252</v>
      </c>
      <c r="OP68" s="561">
        <f t="shared" si="188"/>
        <v>866.70824530535106</v>
      </c>
      <c r="OQ68" s="561">
        <f t="shared" si="188"/>
        <v>349.55988321338498</v>
      </c>
      <c r="OR68" s="562">
        <f t="shared" si="188"/>
        <v>1893.60823946144</v>
      </c>
      <c r="OT68" s="167" t="s">
        <v>540</v>
      </c>
      <c r="OU68" s="583">
        <f t="shared" ref="OU68:PF68" si="189">OU18</f>
        <v>383.199296</v>
      </c>
      <c r="OV68" s="561">
        <f t="shared" si="189"/>
        <v>277.66426200000001</v>
      </c>
      <c r="OW68" s="561">
        <f t="shared" si="189"/>
        <v>433.94729899999999</v>
      </c>
      <c r="OX68" s="562">
        <f t="shared" si="189"/>
        <v>1368.4101009999999</v>
      </c>
      <c r="OY68" s="583">
        <f t="shared" si="189"/>
        <v>361.25531265130508</v>
      </c>
      <c r="OZ68" s="561">
        <f t="shared" si="189"/>
        <v>220.57586439764961</v>
      </c>
      <c r="PA68" s="561">
        <f t="shared" si="189"/>
        <v>379.72495083323679</v>
      </c>
      <c r="PB68" s="562">
        <f t="shared" si="189"/>
        <v>1457.765924427137</v>
      </c>
      <c r="PC68" s="583">
        <f t="shared" si="189"/>
        <v>253.45815742710519</v>
      </c>
      <c r="PD68" s="561">
        <f t="shared" si="189"/>
        <v>206.48457043951501</v>
      </c>
      <c r="PE68" s="561">
        <f t="shared" si="189"/>
        <v>352.44208606296701</v>
      </c>
      <c r="PF68" s="562">
        <f t="shared" si="189"/>
        <v>1495.1659019963681</v>
      </c>
      <c r="PH68" s="167" t="s">
        <v>540</v>
      </c>
      <c r="PI68" s="583">
        <f t="shared" ref="PI68:PP68" si="190">PI18</f>
        <v>107.39614335230721</v>
      </c>
      <c r="PJ68" s="561">
        <f t="shared" si="190"/>
        <v>126.958105973371</v>
      </c>
      <c r="PK68" s="561">
        <f t="shared" si="190"/>
        <v>225.42222004393801</v>
      </c>
      <c r="PL68" s="562">
        <f t="shared" si="190"/>
        <v>739.78241882588691</v>
      </c>
      <c r="PM68" s="583">
        <f t="shared" si="190"/>
        <v>146.06201407479719</v>
      </c>
      <c r="PN68" s="561">
        <f t="shared" si="190"/>
        <v>79.526464466144105</v>
      </c>
      <c r="PO68" s="561">
        <f t="shared" si="190"/>
        <v>127.01986601903</v>
      </c>
      <c r="PP68" s="562">
        <f t="shared" si="190"/>
        <v>755.38348317048099</v>
      </c>
      <c r="PQ68" s="65"/>
      <c r="PR68" s="169" t="s">
        <v>540</v>
      </c>
      <c r="PS68" s="1038">
        <f t="shared" ref="PS68:PW68" si="191">PS18</f>
        <v>71.821588682556893</v>
      </c>
      <c r="PT68" s="1039">
        <f t="shared" si="191"/>
        <v>217.59937010640101</v>
      </c>
      <c r="PU68" s="1039">
        <f t="shared" si="191"/>
        <v>229.63673034508901</v>
      </c>
      <c r="PV68" s="1039">
        <f t="shared" si="191"/>
        <v>26.786352196851499</v>
      </c>
      <c r="PW68" s="1039">
        <f t="shared" si="191"/>
        <v>697.55756442583004</v>
      </c>
      <c r="PX68" s="1040">
        <f t="shared" ref="PX68" si="192">PX18</f>
        <v>385.47853739098201</v>
      </c>
      <c r="PZ68" s="169" t="s">
        <v>540</v>
      </c>
      <c r="QA68" s="1038">
        <f t="shared" ref="QA68:QF68" si="193">QA18</f>
        <v>986.36167886940802</v>
      </c>
      <c r="QB68" s="1039">
        <f t="shared" si="193"/>
        <v>637.51845920137498</v>
      </c>
      <c r="QC68" s="1039">
        <f t="shared" si="193"/>
        <v>439.04778285334498</v>
      </c>
      <c r="QD68" s="1039">
        <f t="shared" ref="QD68" si="194">QD18</f>
        <v>78.025959201297894</v>
      </c>
      <c r="QE68" s="1039">
        <f t="shared" si="193"/>
        <v>116.976331113125</v>
      </c>
      <c r="QF68" s="1040">
        <f t="shared" si="193"/>
        <v>3.4683860336075698</v>
      </c>
    </row>
    <row r="69" spans="1:448" ht="13.5" customHeight="1">
      <c r="A69" s="136"/>
      <c r="B69" s="167" t="s">
        <v>590</v>
      </c>
      <c r="C69" s="561">
        <f t="shared" ref="C69:E69" si="195">C19+C20</f>
        <v>5480.0263880000002</v>
      </c>
      <c r="D69" s="561">
        <f t="shared" si="195"/>
        <v>5780.1160225344411</v>
      </c>
      <c r="E69" s="562">
        <f t="shared" si="195"/>
        <v>5362.6730393779098</v>
      </c>
      <c r="F69" s="136"/>
      <c r="G69" s="167" t="s">
        <v>590</v>
      </c>
      <c r="H69" s="318">
        <f t="shared" si="5"/>
        <v>1.0719817760652006E-2</v>
      </c>
      <c r="I69" s="668">
        <f t="shared" si="6"/>
        <v>-1.4880416575734801E-2</v>
      </c>
      <c r="J69" s="612"/>
      <c r="K69" s="63"/>
      <c r="L69" s="167" t="s">
        <v>590</v>
      </c>
      <c r="M69" s="583">
        <f t="shared" ref="M69:T69" si="196">M19+M20</f>
        <v>65</v>
      </c>
      <c r="N69" s="561">
        <f t="shared" si="196"/>
        <v>59</v>
      </c>
      <c r="O69" s="561">
        <f t="shared" si="196"/>
        <v>61</v>
      </c>
      <c r="P69" s="561">
        <f t="shared" si="196"/>
        <v>64</v>
      </c>
      <c r="Q69" s="561">
        <f t="shared" si="196"/>
        <v>71</v>
      </c>
      <c r="R69" s="561">
        <f t="shared" si="196"/>
        <v>48</v>
      </c>
      <c r="S69" s="561">
        <f t="shared" si="196"/>
        <v>76</v>
      </c>
      <c r="T69" s="561">
        <f t="shared" si="196"/>
        <v>48</v>
      </c>
      <c r="U69" s="561">
        <f t="shared" ref="U69:V69" si="197">U19+U20</f>
        <v>55</v>
      </c>
      <c r="V69" s="561">
        <f t="shared" si="197"/>
        <v>53</v>
      </c>
      <c r="W69" s="562">
        <f t="shared" ref="W69" si="198">W19+W20</f>
        <v>56</v>
      </c>
      <c r="X69" s="167" t="s">
        <v>590</v>
      </c>
      <c r="Y69" s="583">
        <f t="shared" ref="Y69:AB69" si="199">Y19+Y20</f>
        <v>62</v>
      </c>
      <c r="Z69" s="561">
        <f t="shared" si="199"/>
        <v>62.5</v>
      </c>
      <c r="AA69" s="561">
        <f t="shared" si="199"/>
        <v>59.5</v>
      </c>
      <c r="AB69" s="561">
        <f t="shared" si="199"/>
        <v>62</v>
      </c>
      <c r="AC69" s="1206">
        <f t="shared" ref="AC69" si="200">AC19+AC20</f>
        <v>62</v>
      </c>
      <c r="AD69" s="336">
        <f t="shared" si="98"/>
        <v>8.0645161290322578E-3</v>
      </c>
      <c r="AE69" s="336">
        <f t="shared" si="99"/>
        <v>-4.8000000000000001E-2</v>
      </c>
      <c r="AF69" s="336">
        <f t="shared" si="100"/>
        <v>4.2016806722689079E-2</v>
      </c>
      <c r="AG69" s="1217">
        <f t="shared" si="101"/>
        <v>0</v>
      </c>
      <c r="AN69" s="167" t="s">
        <v>590</v>
      </c>
      <c r="AO69" s="583">
        <f t="shared" ref="AO69:AV69" si="201">AO19+AO20</f>
        <v>3.8830710000000002</v>
      </c>
      <c r="AP69" s="561">
        <f t="shared" si="201"/>
        <v>99.556195000000002</v>
      </c>
      <c r="AQ69" s="561">
        <f t="shared" si="201"/>
        <v>375.47242400000005</v>
      </c>
      <c r="AR69" s="561">
        <f t="shared" si="201"/>
        <v>760.02292199999999</v>
      </c>
      <c r="AS69" s="561">
        <f t="shared" si="201"/>
        <v>861.82803899999999</v>
      </c>
      <c r="AT69" s="561">
        <f t="shared" si="201"/>
        <v>546.70088099999998</v>
      </c>
      <c r="AU69" s="561">
        <f t="shared" si="201"/>
        <v>935.03492099999994</v>
      </c>
      <c r="AV69" s="562">
        <f t="shared" si="201"/>
        <v>1143.032541</v>
      </c>
      <c r="AW69" s="583">
        <f t="shared" ref="AW69:BD69" si="202">AW19+AW20</f>
        <v>0</v>
      </c>
      <c r="AX69" s="561">
        <f t="shared" si="202"/>
        <v>160.50643966310463</v>
      </c>
      <c r="AY69" s="561">
        <f t="shared" si="202"/>
        <v>419.46917336662091</v>
      </c>
      <c r="AZ69" s="561">
        <f t="shared" si="202"/>
        <v>660.36762303884177</v>
      </c>
      <c r="BA69" s="561">
        <f t="shared" si="202"/>
        <v>953.02366478344209</v>
      </c>
      <c r="BB69" s="561">
        <f t="shared" si="202"/>
        <v>573.22260134841406</v>
      </c>
      <c r="BC69" s="561">
        <f t="shared" si="202"/>
        <v>983.95245075743549</v>
      </c>
      <c r="BD69" s="562">
        <f t="shared" si="202"/>
        <v>1169.2459858279722</v>
      </c>
      <c r="BE69" s="583">
        <f t="shared" ref="BE69:BL69" si="203">BE19+BE20</f>
        <v>0</v>
      </c>
      <c r="BF69" s="561">
        <f t="shared" si="203"/>
        <v>145.8069345044359</v>
      </c>
      <c r="BG69" s="561">
        <f t="shared" si="203"/>
        <v>517.31200767706605</v>
      </c>
      <c r="BH69" s="561">
        <f t="shared" si="203"/>
        <v>602.16604855733794</v>
      </c>
      <c r="BI69" s="561">
        <f t="shared" si="203"/>
        <v>757.47682927222399</v>
      </c>
      <c r="BJ69" s="561">
        <f t="shared" si="203"/>
        <v>465.06051851014001</v>
      </c>
      <c r="BK69" s="561">
        <f t="shared" si="203"/>
        <v>1050.898082114343</v>
      </c>
      <c r="BL69" s="562">
        <f t="shared" si="203"/>
        <v>1121.7282668254061</v>
      </c>
      <c r="BN69" s="167" t="s">
        <v>590</v>
      </c>
      <c r="BO69" s="583">
        <f t="shared" ref="BO69:BT69" si="204">BO19+BO20</f>
        <v>751.49539700000003</v>
      </c>
      <c r="BP69" s="561">
        <f t="shared" si="204"/>
        <v>1862.2245130000001</v>
      </c>
      <c r="BQ69" s="561">
        <f t="shared" si="204"/>
        <v>1052.4641329999999</v>
      </c>
      <c r="BR69" s="561">
        <f t="shared" si="204"/>
        <v>845.59825499999999</v>
      </c>
      <c r="BS69" s="561">
        <f t="shared" si="204"/>
        <v>474.78852900000004</v>
      </c>
      <c r="BT69" s="562">
        <f t="shared" si="204"/>
        <v>493.45556099999999</v>
      </c>
      <c r="BU69" s="583">
        <f t="shared" ref="BU69:BZ69" si="205">BU19+BU20</f>
        <v>848.32809312676181</v>
      </c>
      <c r="BV69" s="561">
        <f t="shared" si="205"/>
        <v>1803.9330626259054</v>
      </c>
      <c r="BW69" s="561">
        <f t="shared" si="205"/>
        <v>1136.1524375426638</v>
      </c>
      <c r="BX69" s="561">
        <f t="shared" si="205"/>
        <v>846.19748143456718</v>
      </c>
      <c r="BY69" s="561">
        <f t="shared" si="205"/>
        <v>580.20744176208393</v>
      </c>
      <c r="BZ69" s="562">
        <f t="shared" si="205"/>
        <v>565.29750604245862</v>
      </c>
      <c r="CA69" s="583">
        <f t="shared" ref="CA69:CF69" si="206">CA19+CA20</f>
        <v>690.2243397323341</v>
      </c>
      <c r="CB69" s="561">
        <f t="shared" si="206"/>
        <v>1633.703767522562</v>
      </c>
      <c r="CC69" s="561">
        <f t="shared" si="206"/>
        <v>1011.1633258107379</v>
      </c>
      <c r="CD69" s="561">
        <f t="shared" si="206"/>
        <v>791.96444773269002</v>
      </c>
      <c r="CE69" s="561">
        <f t="shared" si="206"/>
        <v>632.52929853629701</v>
      </c>
      <c r="CF69" s="562">
        <f t="shared" si="206"/>
        <v>603.08786004328397</v>
      </c>
      <c r="CG69" s="429"/>
      <c r="CH69" s="167" t="s">
        <v>590</v>
      </c>
      <c r="CI69" s="583">
        <f t="shared" ref="CI69:CK69" si="207">CI19+CI20</f>
        <v>1306.9212750000002</v>
      </c>
      <c r="CJ69" s="561">
        <f t="shared" si="207"/>
        <v>3409.2558369999997</v>
      </c>
      <c r="CK69" s="561">
        <f t="shared" si="207"/>
        <v>763.84927600000003</v>
      </c>
      <c r="CL69" s="583">
        <f t="shared" ref="CL69:CN69" si="208">CL19+CL20</f>
        <v>1383.1044369797291</v>
      </c>
      <c r="CM69" s="561">
        <f t="shared" si="208"/>
        <v>3473.0160453701628</v>
      </c>
      <c r="CN69" s="561">
        <f t="shared" si="208"/>
        <v>923.99554018454842</v>
      </c>
      <c r="CO69" s="583">
        <f t="shared" ref="CO69:CQ69" si="209">CO19+CO20</f>
        <v>1155.205385753771</v>
      </c>
      <c r="CP69" s="561">
        <f t="shared" si="209"/>
        <v>3189.8303996183399</v>
      </c>
      <c r="CQ69" s="562">
        <f t="shared" si="209"/>
        <v>1017.6372540057989</v>
      </c>
      <c r="CR69" s="429"/>
      <c r="DB69" s="426"/>
      <c r="DC69" s="426"/>
      <c r="DD69" s="426"/>
      <c r="DE69" s="426"/>
      <c r="DG69" s="167" t="s">
        <v>590</v>
      </c>
      <c r="DH69" s="829"/>
      <c r="DI69" s="830"/>
      <c r="DJ69" s="830"/>
      <c r="DK69" s="830"/>
      <c r="DL69" s="830"/>
      <c r="DM69" s="831"/>
      <c r="DO69" s="167" t="s">
        <v>590</v>
      </c>
      <c r="DP69" s="704">
        <f t="shared" ref="DP69:DR69" si="210">DP19+DP20</f>
        <v>3181.8872579999997</v>
      </c>
      <c r="DQ69" s="561">
        <f t="shared" si="210"/>
        <v>3262.3868816351437</v>
      </c>
      <c r="DR69" s="562">
        <f t="shared" si="210"/>
        <v>3315.31442730553</v>
      </c>
      <c r="DS69" s="63"/>
      <c r="DT69" s="167" t="s">
        <v>590</v>
      </c>
      <c r="DU69" s="583">
        <f t="shared" ref="DU69:DW69" si="211">DU19+DU20</f>
        <v>5275.0266380000003</v>
      </c>
      <c r="DV69" s="561">
        <f t="shared" si="211"/>
        <v>5487.1162515176711</v>
      </c>
      <c r="DW69" s="562">
        <f t="shared" si="211"/>
        <v>5169.6728434085999</v>
      </c>
      <c r="DX69" s="63"/>
      <c r="DY69" s="167" t="s">
        <v>590</v>
      </c>
      <c r="DZ69" s="1092">
        <f t="shared" si="32"/>
        <v>1.6578295238894352</v>
      </c>
      <c r="EA69" s="790">
        <f t="shared" si="33"/>
        <v>1.6819330295882837</v>
      </c>
      <c r="EB69" s="779">
        <f t="shared" si="34"/>
        <v>1.5593310851092246</v>
      </c>
      <c r="ED69" s="541"/>
      <c r="EE69" s="167" t="s">
        <v>590</v>
      </c>
      <c r="EF69" s="583">
        <f t="shared" ref="EF69:EJ69" si="212">EF19+EF20</f>
        <v>1955.010968</v>
      </c>
      <c r="EG69" s="561">
        <f t="shared" si="212"/>
        <v>126.504334</v>
      </c>
      <c r="EH69" s="561">
        <f t="shared" si="212"/>
        <v>479.64139399999999</v>
      </c>
      <c r="EI69" s="561">
        <f t="shared" si="212"/>
        <v>348.75561600000003</v>
      </c>
      <c r="EJ69" s="561">
        <f t="shared" si="212"/>
        <v>271.97494699999999</v>
      </c>
      <c r="EK69" s="583">
        <f t="shared" ref="EK69:EO69" si="213">EK19+EK20</f>
        <v>1935.259859412987</v>
      </c>
      <c r="EL69" s="561">
        <f t="shared" si="213"/>
        <v>156.06438646409583</v>
      </c>
      <c r="EM69" s="561">
        <f t="shared" si="213"/>
        <v>456.53550199238867</v>
      </c>
      <c r="EN69" s="561">
        <f t="shared" si="213"/>
        <v>335.32032441514366</v>
      </c>
      <c r="EO69" s="561">
        <f t="shared" si="213"/>
        <v>379.20680935052826</v>
      </c>
      <c r="EP69" s="583">
        <f t="shared" ref="EP69:ET69" si="214">EP19+EP20</f>
        <v>2214.4655382691599</v>
      </c>
      <c r="EQ69" s="561">
        <f t="shared" si="214"/>
        <v>92.098402675491499</v>
      </c>
      <c r="ER69" s="561">
        <f t="shared" si="214"/>
        <v>397.39757061703898</v>
      </c>
      <c r="ES69" s="561">
        <f t="shared" si="214"/>
        <v>286.29260706981501</v>
      </c>
      <c r="ET69" s="562">
        <f t="shared" si="214"/>
        <v>325.060308674032</v>
      </c>
      <c r="EV69" s="167" t="s">
        <v>590</v>
      </c>
      <c r="EW69" s="583">
        <f t="shared" ref="EW69:FD69" si="215">EW19+EW20</f>
        <v>526.43711299999995</v>
      </c>
      <c r="EX69" s="561">
        <f t="shared" si="215"/>
        <v>828.59607200000005</v>
      </c>
      <c r="EY69" s="561">
        <f t="shared" si="215"/>
        <v>435.28823899999998</v>
      </c>
      <c r="EZ69" s="561">
        <f t="shared" si="215"/>
        <v>163.68954600000001</v>
      </c>
      <c r="FA69" s="583">
        <f t="shared" si="215"/>
        <v>1267.0880030000001</v>
      </c>
      <c r="FB69" s="561">
        <f t="shared" si="215"/>
        <v>2132.1492969999999</v>
      </c>
      <c r="FC69" s="561">
        <f t="shared" si="215"/>
        <v>895.33363400000007</v>
      </c>
      <c r="FD69" s="561">
        <f t="shared" si="215"/>
        <v>239.960294</v>
      </c>
      <c r="FE69" s="583">
        <f t="shared" ref="FE69:FL69" si="216">FE19+FE20</f>
        <v>463.92888904658832</v>
      </c>
      <c r="FF69" s="561">
        <f t="shared" si="216"/>
        <v>785.91249324263822</v>
      </c>
      <c r="FG69" s="561">
        <f t="shared" si="216"/>
        <v>500.56356797444397</v>
      </c>
      <c r="FH69" s="562">
        <f t="shared" si="216"/>
        <v>186.8549075862912</v>
      </c>
      <c r="FI69" s="583">
        <f t="shared" si="216"/>
        <v>1179.3253116708861</v>
      </c>
      <c r="FJ69" s="561">
        <f t="shared" si="216"/>
        <v>2266.9776105325745</v>
      </c>
      <c r="FK69" s="561">
        <f t="shared" si="216"/>
        <v>970.2593477785731</v>
      </c>
      <c r="FL69" s="562">
        <f t="shared" si="216"/>
        <v>255.22586261895538</v>
      </c>
      <c r="FM69" s="703">
        <f t="shared" ref="FM69:FT69" si="217">FM19+FM20</f>
        <v>608.34098254563401</v>
      </c>
      <c r="FN69" s="704">
        <f t="shared" si="217"/>
        <v>818.33403640968095</v>
      </c>
      <c r="FO69" s="704">
        <f t="shared" si="217"/>
        <v>584.78591541010405</v>
      </c>
      <c r="FP69" s="173">
        <f t="shared" si="217"/>
        <v>206.004606949893</v>
      </c>
      <c r="FQ69" s="703">
        <f t="shared" si="217"/>
        <v>1086.945166049195</v>
      </c>
      <c r="FR69" s="704">
        <f t="shared" si="217"/>
        <v>2075.49870643245</v>
      </c>
      <c r="FS69" s="704">
        <f t="shared" si="217"/>
        <v>1032.503883206726</v>
      </c>
      <c r="FT69" s="173">
        <f t="shared" si="217"/>
        <v>293.500757126363</v>
      </c>
      <c r="FV69" s="167" t="s">
        <v>590</v>
      </c>
      <c r="FW69" s="583">
        <f t="shared" ref="FW69:GH69" si="218">FW19+FW20</f>
        <v>502.243134</v>
      </c>
      <c r="FX69" s="561">
        <f t="shared" si="218"/>
        <v>278.13037199999997</v>
      </c>
      <c r="FY69" s="561">
        <f t="shared" si="218"/>
        <v>243.62697199999999</v>
      </c>
      <c r="FZ69" s="562">
        <f t="shared" si="218"/>
        <v>80.148324000000002</v>
      </c>
      <c r="GA69" s="583">
        <f t="shared" si="218"/>
        <v>508.81461328951514</v>
      </c>
      <c r="GB69" s="561">
        <f t="shared" si="218"/>
        <v>358.17640800414063</v>
      </c>
      <c r="GC69" s="561">
        <f t="shared" si="218"/>
        <v>208.25748040665707</v>
      </c>
      <c r="GD69" s="562">
        <f t="shared" si="218"/>
        <v>99.373047780909133</v>
      </c>
      <c r="GE69" s="583">
        <f t="shared" si="218"/>
        <v>464.71050050059102</v>
      </c>
      <c r="GF69" s="561">
        <f t="shared" si="218"/>
        <v>288.04507497548701</v>
      </c>
      <c r="GG69" s="561">
        <f t="shared" si="218"/>
        <v>167.34951563212701</v>
      </c>
      <c r="GH69" s="562">
        <f t="shared" si="218"/>
        <v>92.410662419947499</v>
      </c>
      <c r="GJ69" s="167" t="s">
        <v>590</v>
      </c>
      <c r="GK69" s="561">
        <f t="shared" ref="GK69:GM69" si="219">GK19+GK20</f>
        <v>3501.4961149999999</v>
      </c>
      <c r="GL69" s="561">
        <f t="shared" si="219"/>
        <v>3535.4974464935626</v>
      </c>
      <c r="GM69" s="562">
        <f t="shared" si="219"/>
        <v>3851.7576365903301</v>
      </c>
      <c r="GO69" s="167" t="s">
        <v>590</v>
      </c>
      <c r="GP69" s="583">
        <f t="shared" ref="GP69:GX69" si="220">GP19+GP20</f>
        <v>3183.887256</v>
      </c>
      <c r="GQ69" s="561">
        <f t="shared" si="220"/>
        <v>61.093893999999999</v>
      </c>
      <c r="GR69" s="562">
        <f t="shared" si="220"/>
        <v>256.51496599999996</v>
      </c>
      <c r="GS69" s="583">
        <f t="shared" si="220"/>
        <v>3267.3868777275802</v>
      </c>
      <c r="GT69" s="561">
        <f t="shared" si="220"/>
        <v>21.99595763645339</v>
      </c>
      <c r="GU69" s="562">
        <f t="shared" si="220"/>
        <v>246.11461112952901</v>
      </c>
      <c r="GV69" s="583">
        <f t="shared" si="220"/>
        <v>3319.31443136708</v>
      </c>
      <c r="GW69" s="561">
        <f t="shared" si="220"/>
        <v>162.47046801485681</v>
      </c>
      <c r="GX69" s="562">
        <f t="shared" si="220"/>
        <v>369.97273720839399</v>
      </c>
      <c r="GZ69" s="167" t="s">
        <v>590</v>
      </c>
      <c r="HA69" s="583">
        <f t="shared" ref="HA69:HI69" si="221">HA19+HA20</f>
        <v>212.64514400000002</v>
      </c>
      <c r="HB69" s="561">
        <f t="shared" si="221"/>
        <v>3266.8928770000002</v>
      </c>
      <c r="HC69" s="562">
        <f t="shared" si="221"/>
        <v>21.958093999999846</v>
      </c>
      <c r="HD69" s="583">
        <f t="shared" si="221"/>
        <v>184.92935056869385</v>
      </c>
      <c r="HE69" s="561">
        <f t="shared" si="221"/>
        <v>3248.0422049306908</v>
      </c>
      <c r="HF69" s="562">
        <f t="shared" si="221"/>
        <v>102.52589099417764</v>
      </c>
      <c r="HG69" s="583">
        <f t="shared" si="221"/>
        <v>214.93651020556331</v>
      </c>
      <c r="HH69" s="561">
        <f t="shared" si="221"/>
        <v>3513.89826135158</v>
      </c>
      <c r="HI69" s="562">
        <f t="shared" si="221"/>
        <v>122.92286503318678</v>
      </c>
      <c r="HK69" s="167" t="s">
        <v>590</v>
      </c>
      <c r="HL69" s="561">
        <f t="shared" ref="HL69:HO69" si="222">HL19+HL20</f>
        <v>3183.887256</v>
      </c>
      <c r="HM69" s="561">
        <f t="shared" ref="HM69" si="223">HM19+HM20</f>
        <v>8408.6892079999998</v>
      </c>
      <c r="HN69" s="779">
        <f t="shared" si="10"/>
        <v>2.6410134944803461</v>
      </c>
      <c r="HO69" s="583">
        <f t="shared" si="222"/>
        <v>3267.3868777275802</v>
      </c>
      <c r="HP69" s="561">
        <f t="shared" ref="HP69" si="224">HP19+HP20</f>
        <v>8841.5274025011422</v>
      </c>
      <c r="HQ69" s="779">
        <f t="shared" si="11"/>
        <v>2.7059934232980378</v>
      </c>
      <c r="HR69" s="561">
        <f>HR19+HR20</f>
        <v>3319.31443136708</v>
      </c>
      <c r="HS69" s="561">
        <f>HS19+HS20</f>
        <v>8530.7737845478096</v>
      </c>
      <c r="HT69" s="784">
        <f t="shared" si="12"/>
        <v>2.5700408807111286</v>
      </c>
      <c r="HV69" s="167" t="s">
        <v>590</v>
      </c>
      <c r="HW69" s="583">
        <f>HW19+HW20</f>
        <v>186.565552</v>
      </c>
      <c r="HX69" s="561">
        <f>HX19+HX20</f>
        <v>881.46855099999993</v>
      </c>
      <c r="HY69" s="790">
        <f t="shared" si="13"/>
        <v>4.7247122609215655</v>
      </c>
      <c r="HZ69" s="561">
        <f>HZ19+HZ20</f>
        <v>2975.363609</v>
      </c>
      <c r="IA69" s="561">
        <f>IA19+IA20</f>
        <v>7468.6524790000003</v>
      </c>
      <c r="IB69" s="790">
        <f t="shared" si="14"/>
        <v>2.5101646253952015</v>
      </c>
      <c r="IC69" s="583">
        <f>IC19+IC20</f>
        <v>178.12004758254633</v>
      </c>
      <c r="ID69" s="561">
        <f>ID19+ID20</f>
        <v>868.4573352418065</v>
      </c>
      <c r="IE69" s="790">
        <f t="shared" si="15"/>
        <v>4.8756855111401007</v>
      </c>
      <c r="IF69" s="561">
        <f>IF19+IF20</f>
        <v>2996.5044287829178</v>
      </c>
      <c r="IG69" s="561">
        <f>IG19+IG20</f>
        <v>7846.7992877977204</v>
      </c>
      <c r="IH69" s="790">
        <f t="shared" si="126"/>
        <v>2.6186509896081929</v>
      </c>
      <c r="II69" s="583">
        <f>II19+II20</f>
        <v>193.00292604471917</v>
      </c>
      <c r="IJ69" s="561">
        <f>IJ19+IJ20</f>
        <v>901.87895067473892</v>
      </c>
      <c r="IK69" s="790">
        <f t="shared" si="17"/>
        <v>4.6728770861524227</v>
      </c>
      <c r="IL69" s="561">
        <f>IL19+IL20</f>
        <v>3016.81299815083</v>
      </c>
      <c r="IM69" s="561">
        <f>IM19+IM20</f>
        <v>7495.3931653611398</v>
      </c>
      <c r="IN69" s="779">
        <f t="shared" si="18"/>
        <v>2.4845401985325166</v>
      </c>
      <c r="IP69" s="167" t="s">
        <v>590</v>
      </c>
      <c r="IQ69" s="583">
        <f>IQ19+IQ20</f>
        <v>721.49962800000003</v>
      </c>
      <c r="IR69" s="561">
        <f t="shared" ref="IR69:JH69" si="225">IR19+IR20</f>
        <v>952.855412</v>
      </c>
      <c r="IS69" s="561">
        <f t="shared" si="225"/>
        <v>729.33246499999996</v>
      </c>
      <c r="IT69" s="561">
        <f t="shared" si="225"/>
        <v>512.66700200000002</v>
      </c>
      <c r="IU69" s="561">
        <f t="shared" si="225"/>
        <v>267.53274799999997</v>
      </c>
      <c r="IV69" s="561">
        <f t="shared" si="225"/>
        <v>8408.6892079999998</v>
      </c>
      <c r="IW69" s="703">
        <f t="shared" si="225"/>
        <v>748.46804176786668</v>
      </c>
      <c r="IX69" s="704">
        <f t="shared" si="225"/>
        <v>839.98094504796165</v>
      </c>
      <c r="IY69" s="704">
        <f t="shared" si="225"/>
        <v>844.9893943371967</v>
      </c>
      <c r="IZ69" s="704">
        <f t="shared" si="225"/>
        <v>511.74787928793796</v>
      </c>
      <c r="JA69" s="704">
        <f t="shared" si="225"/>
        <v>322.20061728661722</v>
      </c>
      <c r="JB69" s="173">
        <f t="shared" si="225"/>
        <v>8841.5274025011422</v>
      </c>
      <c r="JC69" s="703">
        <f t="shared" si="225"/>
        <v>880.61925808699493</v>
      </c>
      <c r="JD69" s="704">
        <f t="shared" si="225"/>
        <v>917.73526641377998</v>
      </c>
      <c r="JE69" s="704">
        <f t="shared" si="225"/>
        <v>707.74748646272496</v>
      </c>
      <c r="JF69" s="704">
        <f t="shared" si="225"/>
        <v>550.133865794592</v>
      </c>
      <c r="JG69" s="704">
        <f t="shared" si="225"/>
        <v>263.07855460898384</v>
      </c>
      <c r="JH69" s="173">
        <f t="shared" si="225"/>
        <v>8530.7737845478096</v>
      </c>
      <c r="JJ69" s="167" t="s">
        <v>590</v>
      </c>
      <c r="JK69" s="583">
        <f t="shared" ref="JK69:JV69" si="226">JK19+JK20</f>
        <v>445.16636799999998</v>
      </c>
      <c r="JL69" s="561">
        <f t="shared" si="226"/>
        <v>1107.1961700000002</v>
      </c>
      <c r="JM69" s="561">
        <f t="shared" si="226"/>
        <v>1563.0596970000001</v>
      </c>
      <c r="JN69" s="562">
        <f t="shared" si="226"/>
        <v>68.465021000000007</v>
      </c>
      <c r="JO69" s="583">
        <f t="shared" si="226"/>
        <v>397.26994893352372</v>
      </c>
      <c r="JP69" s="561">
        <f t="shared" si="226"/>
        <v>976.4931653613512</v>
      </c>
      <c r="JQ69" s="561">
        <f t="shared" si="226"/>
        <v>1838.7555668451648</v>
      </c>
      <c r="JR69" s="562">
        <f t="shared" si="226"/>
        <v>54.868196587540595</v>
      </c>
      <c r="JS69" s="583">
        <f t="shared" si="226"/>
        <v>506.48844225208904</v>
      </c>
      <c r="JT69" s="561">
        <f t="shared" si="226"/>
        <v>1211.3486664807747</v>
      </c>
      <c r="JU69" s="561">
        <f t="shared" si="226"/>
        <v>1551.723047942935</v>
      </c>
      <c r="JV69" s="562">
        <f t="shared" si="226"/>
        <v>49.754274691281402</v>
      </c>
      <c r="JX69" s="167" t="s">
        <v>590</v>
      </c>
      <c r="JY69" s="583">
        <f t="shared" ref="JY69:KB69" si="227">JY19+JY20</f>
        <v>805.86901639729001</v>
      </c>
      <c r="JZ69" s="561">
        <f t="shared" si="227"/>
        <v>965.28313752052895</v>
      </c>
      <c r="KA69" s="561">
        <f t="shared" si="227"/>
        <v>572.58448842775999</v>
      </c>
      <c r="KB69" s="562">
        <f t="shared" si="227"/>
        <v>975.57778902149607</v>
      </c>
      <c r="KC69" s="604"/>
      <c r="KD69" s="167" t="s">
        <v>590</v>
      </c>
      <c r="KE69" s="583">
        <f t="shared" ref="KE69:KV69" si="228">KE19+KE20</f>
        <v>262.37311601257801</v>
      </c>
      <c r="KF69" s="561">
        <f t="shared" si="228"/>
        <v>144.79177432522499</v>
      </c>
      <c r="KG69" s="561">
        <f t="shared" si="228"/>
        <v>781.62306535328707</v>
      </c>
      <c r="KH69" s="561">
        <f t="shared" si="228"/>
        <v>1241.4505911242491</v>
      </c>
      <c r="KI69" s="561">
        <f t="shared" si="228"/>
        <v>346.410416369806</v>
      </c>
      <c r="KJ69" s="562">
        <f t="shared" si="228"/>
        <v>235.5782050488215</v>
      </c>
      <c r="KK69" s="583">
        <f t="shared" si="228"/>
        <v>80.266447248678588</v>
      </c>
      <c r="KL69" s="561">
        <f t="shared" si="228"/>
        <v>62.493691338059399</v>
      </c>
      <c r="KM69" s="561">
        <f t="shared" si="228"/>
        <v>21.579077811505019</v>
      </c>
      <c r="KN69" s="561">
        <f t="shared" si="228"/>
        <v>15.76797581869374</v>
      </c>
      <c r="KO69" s="561">
        <f t="shared" si="228"/>
        <v>8.051435561204789</v>
      </c>
      <c r="KP69" s="562">
        <f t="shared" si="228"/>
        <v>4.8442982665772103</v>
      </c>
      <c r="KQ69" s="583">
        <f t="shared" si="228"/>
        <v>355.32897159064999</v>
      </c>
      <c r="KR69" s="561">
        <f t="shared" si="228"/>
        <v>207.28546566328399</v>
      </c>
      <c r="KS69" s="561">
        <f t="shared" si="228"/>
        <v>817.1024322648409</v>
      </c>
      <c r="KT69" s="561">
        <f t="shared" si="228"/>
        <v>1334.603288200233</v>
      </c>
      <c r="KU69" s="561">
        <f t="shared" si="228"/>
        <v>357.77630502189402</v>
      </c>
      <c r="KV69" s="562">
        <f t="shared" si="228"/>
        <v>242.63213870931952</v>
      </c>
      <c r="KW69" s="429"/>
      <c r="KX69" s="167" t="s">
        <v>590</v>
      </c>
      <c r="KY69" s="583">
        <f t="shared" ref="KY69:LA69" si="229">KY19+KY20</f>
        <v>1297.2717200000002</v>
      </c>
      <c r="KZ69" s="561">
        <f t="shared" si="229"/>
        <v>1603.5098869999999</v>
      </c>
      <c r="LA69" s="562">
        <f t="shared" si="229"/>
        <v>281.10565100000002</v>
      </c>
      <c r="LB69" s="583">
        <f t="shared" ref="LB69:LD69" si="230">LB19+LB20</f>
        <v>1374.6474324478513</v>
      </c>
      <c r="LC69" s="561">
        <f t="shared" si="230"/>
        <v>1597.0874909893555</v>
      </c>
      <c r="LD69" s="562">
        <f t="shared" si="230"/>
        <v>290.65195819793684</v>
      </c>
      <c r="LE69" s="583">
        <f t="shared" ref="LE69:LG69" si="231">LE19+LE20</f>
        <v>1462.0284730605219</v>
      </c>
      <c r="LF69" s="561">
        <f t="shared" si="231"/>
        <v>1534.045702527384</v>
      </c>
      <c r="LG69" s="562">
        <f t="shared" si="231"/>
        <v>319.24025171762401</v>
      </c>
      <c r="LH69" s="426"/>
      <c r="LI69" s="167" t="s">
        <v>590</v>
      </c>
      <c r="LJ69" s="583">
        <f t="shared" ref="LJ69:MA69" si="232">LJ19+LJ20</f>
        <v>2663.3210870000003</v>
      </c>
      <c r="LK69" s="561">
        <f t="shared" si="232"/>
        <v>2184.4105169999998</v>
      </c>
      <c r="LL69" s="561">
        <f t="shared" si="232"/>
        <v>478.91057000000001</v>
      </c>
      <c r="LM69" s="561">
        <f t="shared" si="232"/>
        <v>785.692992</v>
      </c>
      <c r="LN69" s="561">
        <f t="shared" si="232"/>
        <v>210.06729999999999</v>
      </c>
      <c r="LO69" s="562">
        <f t="shared" si="232"/>
        <v>305.60033499999997</v>
      </c>
      <c r="LP69" s="583">
        <f t="shared" si="232"/>
        <v>2800.9838741792773</v>
      </c>
      <c r="LQ69" s="561">
        <f t="shared" si="232"/>
        <v>2222.4348457487172</v>
      </c>
      <c r="LR69" s="561">
        <f t="shared" si="232"/>
        <v>578.54902843056016</v>
      </c>
      <c r="LS69" s="561">
        <f t="shared" si="232"/>
        <v>754.11306259773437</v>
      </c>
      <c r="LT69" s="561">
        <f t="shared" si="232"/>
        <v>149.87299992013277</v>
      </c>
      <c r="LU69" s="562">
        <f t="shared" si="232"/>
        <v>302.82245252598608</v>
      </c>
      <c r="LV69" s="583">
        <f t="shared" si="232"/>
        <v>2508.0299292927202</v>
      </c>
      <c r="LW69" s="561">
        <f t="shared" si="232"/>
        <v>1930.1334729487121</v>
      </c>
      <c r="LX69" s="561">
        <f t="shared" si="232"/>
        <v>577.89645634400404</v>
      </c>
      <c r="LY69" s="561">
        <f t="shared" si="232"/>
        <v>693.10886927436695</v>
      </c>
      <c r="LZ69" s="561">
        <f t="shared" si="232"/>
        <v>105.8775261708785</v>
      </c>
      <c r="MA69" s="562">
        <f t="shared" si="232"/>
        <v>347.79512090181299</v>
      </c>
      <c r="MC69" s="167" t="s">
        <v>590</v>
      </c>
      <c r="MD69" s="583">
        <f t="shared" ref="MD69:MU69" si="233">MD19+MD20</f>
        <v>3.8830710000000002</v>
      </c>
      <c r="ME69" s="561">
        <f t="shared" si="233"/>
        <v>85.836286000000001</v>
      </c>
      <c r="MF69" s="561">
        <f t="shared" si="233"/>
        <v>335.98164199999997</v>
      </c>
      <c r="MG69" s="561">
        <f t="shared" si="233"/>
        <v>665.265851</v>
      </c>
      <c r="MH69" s="561">
        <f t="shared" si="233"/>
        <v>690.10725000000002</v>
      </c>
      <c r="MI69" s="562">
        <f t="shared" si="233"/>
        <v>406.33641299999999</v>
      </c>
      <c r="MJ69" s="583">
        <f t="shared" si="233"/>
        <v>0</v>
      </c>
      <c r="MK69" s="561">
        <f t="shared" si="233"/>
        <v>125.87811093623372</v>
      </c>
      <c r="ML69" s="561">
        <f t="shared" si="233"/>
        <v>375.81255696293397</v>
      </c>
      <c r="MM69" s="561">
        <f t="shared" si="233"/>
        <v>562.63434771429786</v>
      </c>
      <c r="MN69" s="561">
        <f t="shared" si="233"/>
        <v>755.96882640639751</v>
      </c>
      <c r="MO69" s="562">
        <f t="shared" si="233"/>
        <v>396.14100841793015</v>
      </c>
      <c r="MP69" s="583">
        <f t="shared" si="233"/>
        <v>0</v>
      </c>
      <c r="MQ69" s="561">
        <f t="shared" si="233"/>
        <v>119.6688334496971</v>
      </c>
      <c r="MR69" s="561">
        <f t="shared" si="233"/>
        <v>492.90174017350398</v>
      </c>
      <c r="MS69" s="561">
        <f t="shared" si="233"/>
        <v>464.97457753155101</v>
      </c>
      <c r="MT69" s="561">
        <f t="shared" si="233"/>
        <v>559.66061467120107</v>
      </c>
      <c r="MU69" s="562">
        <f t="shared" si="233"/>
        <v>287.92770204583303</v>
      </c>
      <c r="MW69" s="167" t="s">
        <v>590</v>
      </c>
      <c r="MX69" s="583">
        <f t="shared" ref="MX69:NF69" si="234">MX19+MX20</f>
        <v>2199.0903170000001</v>
      </c>
      <c r="MY69" s="561">
        <f t="shared" si="234"/>
        <v>2015.7081149999999</v>
      </c>
      <c r="MZ69" s="561">
        <f t="shared" si="234"/>
        <v>183.38220100000001</v>
      </c>
      <c r="NA69" s="583">
        <f t="shared" si="234"/>
        <v>2245.2275367682673</v>
      </c>
      <c r="NB69" s="561">
        <f t="shared" si="234"/>
        <v>1995.0775232868932</v>
      </c>
      <c r="NC69" s="562">
        <f t="shared" si="234"/>
        <v>250.15001348137378</v>
      </c>
      <c r="ND69" s="583">
        <f t="shared" si="234"/>
        <v>1957.399156386027</v>
      </c>
      <c r="NE69" s="561">
        <f t="shared" si="234"/>
        <v>1701.1634399769391</v>
      </c>
      <c r="NF69" s="562">
        <f t="shared" si="234"/>
        <v>256.23571640908801</v>
      </c>
      <c r="NH69" s="167" t="s">
        <v>590</v>
      </c>
      <c r="NI69" s="583">
        <f t="shared" ref="NI69:NR69" si="235">NI19+NI20</f>
        <v>1449.0708022781246</v>
      </c>
      <c r="NJ69" s="562">
        <f t="shared" si="235"/>
        <v>546.00672100876864</v>
      </c>
      <c r="NK69" s="583">
        <f t="shared" si="235"/>
        <v>160.39988443240773</v>
      </c>
      <c r="NL69" s="561">
        <f t="shared" si="235"/>
        <v>81.677052607905523</v>
      </c>
      <c r="NM69" s="562">
        <f t="shared" si="235"/>
        <v>8.0730764410605396</v>
      </c>
      <c r="NN69" s="583">
        <f t="shared" si="235"/>
        <v>1146.436259667269</v>
      </c>
      <c r="NO69" s="562">
        <f t="shared" si="235"/>
        <v>554.7271803096703</v>
      </c>
      <c r="NP69" s="583">
        <f t="shared" si="235"/>
        <v>187.88549141838541</v>
      </c>
      <c r="NQ69" s="561">
        <f t="shared" si="235"/>
        <v>68.350224990702401</v>
      </c>
      <c r="NR69" s="562">
        <f t="shared" si="235"/>
        <v>0</v>
      </c>
      <c r="NS69" s="136"/>
      <c r="NT69" s="167" t="s">
        <v>590</v>
      </c>
      <c r="NU69" s="583">
        <f t="shared" ref="NU69:OB69" si="236">NU19+NU20</f>
        <v>361.2234983647009</v>
      </c>
      <c r="NV69" s="561">
        <f t="shared" si="236"/>
        <v>60.747844167633318</v>
      </c>
      <c r="NW69" s="561">
        <f t="shared" si="236"/>
        <v>14.374481210330488</v>
      </c>
      <c r="NX69" s="562">
        <f t="shared" si="236"/>
        <v>109.66089726610392</v>
      </c>
      <c r="NY69" s="583">
        <f t="shared" si="236"/>
        <v>324.712795943245</v>
      </c>
      <c r="NZ69" s="561">
        <f t="shared" si="236"/>
        <v>66.843634763865992</v>
      </c>
      <c r="OA69" s="561">
        <f t="shared" si="236"/>
        <v>16.596954158339901</v>
      </c>
      <c r="OB69" s="562">
        <f t="shared" si="236"/>
        <v>146.57379544421929</v>
      </c>
      <c r="OC69" s="553"/>
      <c r="OD69" s="167" t="s">
        <v>590</v>
      </c>
      <c r="OE69" s="583">
        <f t="shared" ref="OE69:OR69" si="237">OE19+OE20</f>
        <v>139.84868162189849</v>
      </c>
      <c r="OF69" s="561">
        <f t="shared" si="237"/>
        <v>219.31292401973502</v>
      </c>
      <c r="OG69" s="561">
        <f t="shared" si="237"/>
        <v>170.2177209866592</v>
      </c>
      <c r="OH69" s="561">
        <f t="shared" si="237"/>
        <v>135.56522052970041</v>
      </c>
      <c r="OI69" s="561">
        <f t="shared" si="237"/>
        <v>727.26816814928895</v>
      </c>
      <c r="OJ69" s="561">
        <f t="shared" si="237"/>
        <v>138.4948243818578</v>
      </c>
      <c r="OK69" s="562">
        <f t="shared" si="237"/>
        <v>75.55715842228139</v>
      </c>
      <c r="OL69" s="583">
        <f t="shared" si="237"/>
        <v>201.3985267545944</v>
      </c>
      <c r="OM69" s="561">
        <f t="shared" si="237"/>
        <v>221.52255941365598</v>
      </c>
      <c r="ON69" s="561">
        <f t="shared" si="237"/>
        <v>174.8035509035152</v>
      </c>
      <c r="OO69" s="561">
        <f t="shared" si="237"/>
        <v>139.3047010993169</v>
      </c>
      <c r="OP69" s="561">
        <f t="shared" si="237"/>
        <v>958.64047611911406</v>
      </c>
      <c r="OQ69" s="561">
        <f t="shared" si="237"/>
        <v>535.75859030413108</v>
      </c>
      <c r="OR69" s="562">
        <f t="shared" si="237"/>
        <v>3038.7449321230101</v>
      </c>
      <c r="OT69" s="167" t="s">
        <v>590</v>
      </c>
      <c r="OU69" s="583">
        <f t="shared" ref="OU69:PF69" si="238">OU19+OU20</f>
        <v>1225.2673519999998</v>
      </c>
      <c r="OV69" s="561">
        <f t="shared" si="238"/>
        <v>638.24538299999995</v>
      </c>
      <c r="OW69" s="561">
        <f t="shared" si="238"/>
        <v>520.90443000000005</v>
      </c>
      <c r="OX69" s="562">
        <f t="shared" si="238"/>
        <v>1165.5850089999999</v>
      </c>
      <c r="OY69" s="583">
        <f t="shared" si="238"/>
        <v>1089.7593028705248</v>
      </c>
      <c r="OZ69" s="561">
        <f t="shared" si="238"/>
        <v>766.86662204227696</v>
      </c>
      <c r="PA69" s="561">
        <f t="shared" si="238"/>
        <v>764.1396254024952</v>
      </c>
      <c r="PB69" s="562">
        <f t="shared" si="238"/>
        <v>1228.0316322778153</v>
      </c>
      <c r="PC69" s="583">
        <f t="shared" si="238"/>
        <v>1028.9342438857575</v>
      </c>
      <c r="PD69" s="561">
        <f t="shared" si="238"/>
        <v>732.32747285887797</v>
      </c>
      <c r="PE69" s="561">
        <f t="shared" si="238"/>
        <v>537.91948662572099</v>
      </c>
      <c r="PF69" s="562">
        <f t="shared" si="238"/>
        <v>1296.3821247920878</v>
      </c>
      <c r="PH69" s="167" t="s">
        <v>590</v>
      </c>
      <c r="PI69" s="583">
        <f t="shared" ref="PI69:PP69" si="239">PI19+PI20</f>
        <v>349.91152830728731</v>
      </c>
      <c r="PJ69" s="561">
        <f t="shared" si="239"/>
        <v>416.48876146298301</v>
      </c>
      <c r="PK69" s="561">
        <f t="shared" si="239"/>
        <v>242.32023852289399</v>
      </c>
      <c r="PL69" s="562">
        <f t="shared" si="239"/>
        <v>586.268786207414</v>
      </c>
      <c r="PM69" s="583">
        <f t="shared" si="239"/>
        <v>679.02271557846939</v>
      </c>
      <c r="PN69" s="561">
        <f t="shared" si="239"/>
        <v>315.83871139589502</v>
      </c>
      <c r="PO69" s="561">
        <f t="shared" si="239"/>
        <v>295.59924810282803</v>
      </c>
      <c r="PP69" s="562">
        <f t="shared" si="239"/>
        <v>710.11333858467424</v>
      </c>
      <c r="PQ69" s="65"/>
      <c r="PR69" s="169" t="s">
        <v>590</v>
      </c>
      <c r="PS69" s="1038">
        <f t="shared" ref="PS69:PW69" si="240">PS19+PS20</f>
        <v>67.313649025686303</v>
      </c>
      <c r="PT69" s="1039">
        <f t="shared" si="240"/>
        <v>394.797250006171</v>
      </c>
      <c r="PU69" s="1039">
        <f t="shared" si="240"/>
        <v>179.6924763182875</v>
      </c>
      <c r="PV69" s="1039">
        <f t="shared" si="240"/>
        <v>38.136952356856398</v>
      </c>
      <c r="PW69" s="1039">
        <f t="shared" si="240"/>
        <v>870.54238036720994</v>
      </c>
      <c r="PX69" s="1040">
        <f t="shared" ref="PX69" si="241">PX19+PX20</f>
        <v>400.91644221950503</v>
      </c>
      <c r="PZ69" s="169" t="s">
        <v>590</v>
      </c>
      <c r="QA69" s="1038">
        <f t="shared" ref="QA69:QF69" si="242">QA19+QA20</f>
        <v>1361.632938927323</v>
      </c>
      <c r="QB69" s="1039">
        <f t="shared" si="242"/>
        <v>595.76621745870398</v>
      </c>
      <c r="QC69" s="1039">
        <f t="shared" si="242"/>
        <v>461.44002497201802</v>
      </c>
      <c r="QD69" s="1039">
        <f t="shared" ref="QD69" si="243">QD19+QD20</f>
        <v>47.284972454180306</v>
      </c>
      <c r="QE69" s="1039">
        <f t="shared" si="242"/>
        <v>87.041220032506004</v>
      </c>
      <c r="QF69" s="1040">
        <f t="shared" si="242"/>
        <v>0</v>
      </c>
    </row>
    <row r="70" spans="1:448" ht="13.5" customHeight="1">
      <c r="A70" s="136"/>
      <c r="B70" s="167" t="s">
        <v>591</v>
      </c>
      <c r="C70" s="561">
        <f t="shared" ref="C70:E70" si="244">C21+C22</f>
        <v>5344.2802579999998</v>
      </c>
      <c r="D70" s="561">
        <f t="shared" si="244"/>
        <v>5570.1788224089469</v>
      </c>
      <c r="E70" s="562">
        <f t="shared" si="244"/>
        <v>6142.1042427533594</v>
      </c>
      <c r="F70" s="136"/>
      <c r="G70" s="167" t="s">
        <v>591</v>
      </c>
      <c r="H70" s="318">
        <f t="shared" si="5"/>
        <v>8.3144303994349134E-3</v>
      </c>
      <c r="I70" s="668">
        <f t="shared" si="6"/>
        <v>1.9740361354296132E-2</v>
      </c>
      <c r="J70" s="612"/>
      <c r="K70" s="63"/>
      <c r="L70" s="167" t="s">
        <v>591</v>
      </c>
      <c r="M70" s="583">
        <f t="shared" ref="M70:T70" si="245">M21+M22</f>
        <v>61</v>
      </c>
      <c r="N70" s="561">
        <f t="shared" si="245"/>
        <v>77</v>
      </c>
      <c r="O70" s="561">
        <f t="shared" si="245"/>
        <v>74</v>
      </c>
      <c r="P70" s="561">
        <f t="shared" si="245"/>
        <v>55</v>
      </c>
      <c r="Q70" s="561">
        <f t="shared" si="245"/>
        <v>59</v>
      </c>
      <c r="R70" s="561">
        <f t="shared" si="245"/>
        <v>47</v>
      </c>
      <c r="S70" s="561">
        <f t="shared" si="245"/>
        <v>63</v>
      </c>
      <c r="T70" s="561">
        <f t="shared" si="245"/>
        <v>52</v>
      </c>
      <c r="U70" s="561">
        <f t="shared" ref="U70:V70" si="246">U21+U22</f>
        <v>38</v>
      </c>
      <c r="V70" s="561">
        <f t="shared" si="246"/>
        <v>45</v>
      </c>
      <c r="W70" s="562">
        <f t="shared" ref="W70" si="247">W21+W22</f>
        <v>29</v>
      </c>
      <c r="X70" s="167" t="s">
        <v>591</v>
      </c>
      <c r="Y70" s="583">
        <f t="shared" ref="Y70:AB70" si="248">Y21+Y22</f>
        <v>69</v>
      </c>
      <c r="Z70" s="561">
        <f t="shared" si="248"/>
        <v>64.5</v>
      </c>
      <c r="AA70" s="561">
        <f t="shared" si="248"/>
        <v>53</v>
      </c>
      <c r="AB70" s="561">
        <f t="shared" si="248"/>
        <v>57.5</v>
      </c>
      <c r="AC70" s="1206">
        <f t="shared" ref="AC70" si="249">AC21+AC22</f>
        <v>57.5</v>
      </c>
      <c r="AD70" s="336">
        <f t="shared" si="98"/>
        <v>-6.5217391304347824E-2</v>
      </c>
      <c r="AE70" s="336">
        <f t="shared" si="99"/>
        <v>-0.17829457364341086</v>
      </c>
      <c r="AF70" s="336">
        <f t="shared" si="100"/>
        <v>8.4905660377358486E-2</v>
      </c>
      <c r="AG70" s="1217">
        <f t="shared" si="101"/>
        <v>0</v>
      </c>
      <c r="AN70" s="167" t="s">
        <v>591</v>
      </c>
      <c r="AO70" s="583">
        <f t="shared" ref="AO70:AV70" si="250">AO21+AO22</f>
        <v>0</v>
      </c>
      <c r="AP70" s="561">
        <f t="shared" si="250"/>
        <v>86.260844999999989</v>
      </c>
      <c r="AQ70" s="561">
        <f t="shared" si="250"/>
        <v>549.314029</v>
      </c>
      <c r="AR70" s="561">
        <f t="shared" si="250"/>
        <v>829.1756519999999</v>
      </c>
      <c r="AS70" s="561">
        <f t="shared" si="250"/>
        <v>547.07522700000004</v>
      </c>
      <c r="AT70" s="561">
        <f t="shared" si="250"/>
        <v>341.34250599999996</v>
      </c>
      <c r="AU70" s="561">
        <f t="shared" si="250"/>
        <v>1051.9129480000001</v>
      </c>
      <c r="AV70" s="562">
        <f t="shared" si="250"/>
        <v>1357.29341</v>
      </c>
      <c r="AW70" s="583">
        <f t="shared" ref="AW70:BD70" si="251">AW21+AW22</f>
        <v>0</v>
      </c>
      <c r="AX70" s="561">
        <f t="shared" si="251"/>
        <v>97.650577380556058</v>
      </c>
      <c r="AY70" s="561">
        <f t="shared" si="251"/>
        <v>846.60626301391187</v>
      </c>
      <c r="AZ70" s="561">
        <f t="shared" si="251"/>
        <v>763.48004904778622</v>
      </c>
      <c r="BA70" s="561">
        <f t="shared" si="251"/>
        <v>621.99044060294386</v>
      </c>
      <c r="BB70" s="561">
        <f t="shared" si="251"/>
        <v>322.788283850102</v>
      </c>
      <c r="BC70" s="561">
        <f t="shared" si="251"/>
        <v>1007.517615379372</v>
      </c>
      <c r="BD70" s="562">
        <f t="shared" si="251"/>
        <v>1222.4495014334752</v>
      </c>
      <c r="BE70" s="583">
        <f t="shared" ref="BE70:BL70" si="252">BE21+BE22</f>
        <v>4.1404859426567997</v>
      </c>
      <c r="BF70" s="561">
        <f t="shared" si="252"/>
        <v>118.31093376154189</v>
      </c>
      <c r="BG70" s="561">
        <f t="shared" si="252"/>
        <v>878.21448564482102</v>
      </c>
      <c r="BH70" s="561">
        <f t="shared" si="252"/>
        <v>765.81172807972894</v>
      </c>
      <c r="BI70" s="561">
        <f t="shared" si="252"/>
        <v>676.05138744287001</v>
      </c>
      <c r="BJ70" s="561">
        <f t="shared" si="252"/>
        <v>304.96913837789401</v>
      </c>
      <c r="BK70" s="561">
        <f t="shared" si="252"/>
        <v>1101.205568959163</v>
      </c>
      <c r="BL70" s="562">
        <f t="shared" si="252"/>
        <v>1374.862329532762</v>
      </c>
      <c r="BN70" s="167" t="s">
        <v>591</v>
      </c>
      <c r="BO70" s="583">
        <f t="shared" ref="BO70:BT70" si="253">BO21+BO22</f>
        <v>589.90562900000009</v>
      </c>
      <c r="BP70" s="561">
        <f t="shared" si="253"/>
        <v>2124.4486900000002</v>
      </c>
      <c r="BQ70" s="561">
        <f t="shared" si="253"/>
        <v>738.30982900000004</v>
      </c>
      <c r="BR70" s="561">
        <f t="shared" si="253"/>
        <v>852.06869099999994</v>
      </c>
      <c r="BS70" s="561">
        <f t="shared" si="253"/>
        <v>527.09974699999998</v>
      </c>
      <c r="BT70" s="562">
        <f t="shared" si="253"/>
        <v>512.44767300000001</v>
      </c>
      <c r="BU70" s="583">
        <f t="shared" ref="BU70:BZ70" si="254">BU21+BU22</f>
        <v>684.69609404533753</v>
      </c>
      <c r="BV70" s="561">
        <f t="shared" si="254"/>
        <v>1947.1820471182277</v>
      </c>
      <c r="BW70" s="561">
        <f t="shared" si="254"/>
        <v>1075.8740443990794</v>
      </c>
      <c r="BX70" s="561">
        <f t="shared" si="254"/>
        <v>736.89721722693184</v>
      </c>
      <c r="BY70" s="561">
        <f t="shared" si="254"/>
        <v>575.08052303083991</v>
      </c>
      <c r="BZ70" s="562">
        <f t="shared" si="254"/>
        <v>550.44889658853049</v>
      </c>
      <c r="CA70" s="583">
        <f t="shared" ref="CA70:CF70" si="255">CA21+CA22</f>
        <v>918.53818501192302</v>
      </c>
      <c r="CB70" s="561">
        <f t="shared" si="255"/>
        <v>1966.8000261973611</v>
      </c>
      <c r="CC70" s="561">
        <f t="shared" si="255"/>
        <v>1090.251218404399</v>
      </c>
      <c r="CD70" s="561">
        <f t="shared" si="255"/>
        <v>887.27702268100302</v>
      </c>
      <c r="CE70" s="561">
        <f t="shared" si="255"/>
        <v>635.28329399683901</v>
      </c>
      <c r="CF70" s="562">
        <f t="shared" si="255"/>
        <v>643.95449646183806</v>
      </c>
      <c r="CG70" s="429"/>
      <c r="CH70" s="167" t="s">
        <v>591</v>
      </c>
      <c r="CI70" s="583">
        <f t="shared" ref="CI70:CK70" si="256">CI21+CI22</f>
        <v>1210.527071</v>
      </c>
      <c r="CJ70" s="561">
        <f t="shared" si="256"/>
        <v>3276.3228410000002</v>
      </c>
      <c r="CK70" s="561">
        <f t="shared" si="256"/>
        <v>857.43034499999999</v>
      </c>
      <c r="CL70" s="583">
        <f t="shared" ref="CL70:CN70" si="257">CL21+CL22</f>
        <v>1262.5866434342634</v>
      </c>
      <c r="CM70" s="561">
        <f t="shared" si="257"/>
        <v>3452.5565902424933</v>
      </c>
      <c r="CN70" s="561">
        <f t="shared" si="257"/>
        <v>855.03558873219026</v>
      </c>
      <c r="CO70" s="583">
        <f t="shared" ref="CO70:CQ70" si="258">CO21+CO22</f>
        <v>1531.2573002992019</v>
      </c>
      <c r="CP70" s="561">
        <f t="shared" si="258"/>
        <v>3579.33323300641</v>
      </c>
      <c r="CQ70" s="562">
        <f t="shared" si="258"/>
        <v>1031.5137094477479</v>
      </c>
      <c r="CR70" s="429"/>
      <c r="DB70" s="426"/>
      <c r="DC70" s="426"/>
      <c r="DD70" s="426"/>
      <c r="DE70" s="426"/>
      <c r="DG70" s="167" t="s">
        <v>591</v>
      </c>
      <c r="DH70" s="829"/>
      <c r="DI70" s="830"/>
      <c r="DJ70" s="830"/>
      <c r="DK70" s="830"/>
      <c r="DL70" s="830"/>
      <c r="DM70" s="831"/>
      <c r="DO70" s="167" t="s">
        <v>591</v>
      </c>
      <c r="DP70" s="704">
        <f t="shared" ref="DP70:DR70" si="259">DP21+DP22</f>
        <v>3108.0326869999999</v>
      </c>
      <c r="DQ70" s="561">
        <f t="shared" si="259"/>
        <v>3269.1330622779128</v>
      </c>
      <c r="DR70" s="562">
        <f t="shared" si="259"/>
        <v>3475.24992349283</v>
      </c>
      <c r="DS70" s="63"/>
      <c r="DT70" s="167" t="s">
        <v>591</v>
      </c>
      <c r="DU70" s="583">
        <f t="shared" ref="DU70:DW70" si="260">DU21+DU22</f>
        <v>5152.2804919999999</v>
      </c>
      <c r="DV70" s="561">
        <f t="shared" si="260"/>
        <v>5351.1789935602355</v>
      </c>
      <c r="DW70" s="562">
        <f t="shared" si="260"/>
        <v>6027.1041259840895</v>
      </c>
      <c r="DX70" s="63"/>
      <c r="DY70" s="167" t="s">
        <v>591</v>
      </c>
      <c r="DZ70" s="1092">
        <f t="shared" si="32"/>
        <v>1.6577304716100625</v>
      </c>
      <c r="EA70" s="790">
        <f t="shared" si="33"/>
        <v>1.6368801427224762</v>
      </c>
      <c r="EB70" s="779">
        <f t="shared" si="34"/>
        <v>1.7342937223710508</v>
      </c>
      <c r="ED70" s="541"/>
      <c r="EE70" s="167" t="s">
        <v>591</v>
      </c>
      <c r="EF70" s="583">
        <f t="shared" ref="EF70:EJ70" si="261">EF21+EF22</f>
        <v>1824.7179470000001</v>
      </c>
      <c r="EG70" s="561">
        <f t="shared" si="261"/>
        <v>139.945786</v>
      </c>
      <c r="EH70" s="561">
        <f t="shared" si="261"/>
        <v>628.84930600000007</v>
      </c>
      <c r="EI70" s="561">
        <f t="shared" si="261"/>
        <v>331.30560500000001</v>
      </c>
      <c r="EJ70" s="561">
        <f t="shared" si="261"/>
        <v>183.214043</v>
      </c>
      <c r="EK70" s="583">
        <f t="shared" ref="EK70:EO70" si="262">EK21+EK22</f>
        <v>1963.5211355217518</v>
      </c>
      <c r="EL70" s="561">
        <f t="shared" si="262"/>
        <v>134.10784584132657</v>
      </c>
      <c r="EM70" s="561">
        <f t="shared" si="262"/>
        <v>600.1613828431839</v>
      </c>
      <c r="EN70" s="561">
        <f t="shared" si="262"/>
        <v>388.60555700540277</v>
      </c>
      <c r="EO70" s="561">
        <f t="shared" si="262"/>
        <v>182.73714106624783</v>
      </c>
      <c r="EP70" s="583">
        <f t="shared" ref="EP70:ET70" si="263">EP21+EP22</f>
        <v>1962.8989409439821</v>
      </c>
      <c r="EQ70" s="561">
        <f t="shared" si="263"/>
        <v>167.13026606892251</v>
      </c>
      <c r="ER70" s="561">
        <f t="shared" si="263"/>
        <v>600.71520402922204</v>
      </c>
      <c r="ES70" s="561">
        <f t="shared" si="263"/>
        <v>405.910149245762</v>
      </c>
      <c r="ET70" s="562">
        <f t="shared" si="263"/>
        <v>338.59536320493896</v>
      </c>
      <c r="EV70" s="167" t="s">
        <v>591</v>
      </c>
      <c r="EW70" s="583">
        <f t="shared" ref="EW70:FD70" si="264">EW21+EW22</f>
        <v>808.93235299999992</v>
      </c>
      <c r="EX70" s="561">
        <f t="shared" si="264"/>
        <v>522.99164299999995</v>
      </c>
      <c r="EY70" s="561">
        <f t="shared" si="264"/>
        <v>354.52079100000003</v>
      </c>
      <c r="EZ70" s="561">
        <f t="shared" si="264"/>
        <v>138.27316100000002</v>
      </c>
      <c r="FA70" s="583">
        <f t="shared" si="264"/>
        <v>1561.3282369999999</v>
      </c>
      <c r="FB70" s="561">
        <f t="shared" si="264"/>
        <v>1767.7206080000001</v>
      </c>
      <c r="FC70" s="561">
        <f t="shared" si="264"/>
        <v>997.32621599999993</v>
      </c>
      <c r="FD70" s="561">
        <f t="shared" si="264"/>
        <v>226.99981300000002</v>
      </c>
      <c r="FE70" s="583">
        <f t="shared" ref="FE70:FL70" si="265">FE21+FE22</f>
        <v>733.14653686124279</v>
      </c>
      <c r="FF70" s="561">
        <f t="shared" si="265"/>
        <v>646.35429898619805</v>
      </c>
      <c r="FG70" s="561">
        <f t="shared" si="265"/>
        <v>370.59834826684028</v>
      </c>
      <c r="FH70" s="562">
        <f t="shared" si="265"/>
        <v>212.42195218898343</v>
      </c>
      <c r="FI70" s="583">
        <f t="shared" si="265"/>
        <v>1315.4277789542227</v>
      </c>
      <c r="FJ70" s="561">
        <f t="shared" si="265"/>
        <v>2072.2757694695092</v>
      </c>
      <c r="FK70" s="561">
        <f t="shared" si="265"/>
        <v>955.45341230103952</v>
      </c>
      <c r="FL70" s="562">
        <f t="shared" si="265"/>
        <v>326.32593644558784</v>
      </c>
      <c r="FM70" s="703">
        <f t="shared" ref="FM70:FT70" si="266">FM21+FM22</f>
        <v>722.77312300686299</v>
      </c>
      <c r="FN70" s="704">
        <f t="shared" si="266"/>
        <v>627.43126787359699</v>
      </c>
      <c r="FO70" s="704">
        <f t="shared" si="266"/>
        <v>401.66728086111198</v>
      </c>
      <c r="FP70" s="173">
        <f t="shared" si="266"/>
        <v>211.02726920241341</v>
      </c>
      <c r="FQ70" s="703">
        <f t="shared" si="266"/>
        <v>1465.0385930096932</v>
      </c>
      <c r="FR70" s="704">
        <f t="shared" si="266"/>
        <v>2162.4479580305997</v>
      </c>
      <c r="FS70" s="704">
        <f t="shared" si="266"/>
        <v>1067.8864515927949</v>
      </c>
      <c r="FT70" s="173">
        <f t="shared" si="266"/>
        <v>413.19293833907295</v>
      </c>
      <c r="FV70" s="167" t="s">
        <v>591</v>
      </c>
      <c r="FW70" s="583">
        <f t="shared" ref="FW70:GH70" si="267">FW21+FW22</f>
        <v>662.75206200000002</v>
      </c>
      <c r="FX70" s="561">
        <f t="shared" si="267"/>
        <v>238.94772900000001</v>
      </c>
      <c r="FY70" s="561">
        <f t="shared" si="267"/>
        <v>161.755132</v>
      </c>
      <c r="FZ70" s="562">
        <f t="shared" si="267"/>
        <v>79.914032000000006</v>
      </c>
      <c r="GA70" s="583">
        <f t="shared" si="267"/>
        <v>635.33877400424831</v>
      </c>
      <c r="GB70" s="561">
        <f t="shared" si="267"/>
        <v>276.98521640853892</v>
      </c>
      <c r="GC70" s="561">
        <f t="shared" si="267"/>
        <v>198.07778906982949</v>
      </c>
      <c r="GD70" s="562">
        <f t="shared" si="267"/>
        <v>61.102301432217786</v>
      </c>
      <c r="GE70" s="583">
        <f t="shared" si="267"/>
        <v>654.911100315878</v>
      </c>
      <c r="GF70" s="561">
        <f t="shared" si="267"/>
        <v>322.476797826655</v>
      </c>
      <c r="GG70" s="561">
        <f t="shared" si="267"/>
        <v>239.23950795345201</v>
      </c>
      <c r="GH70" s="562">
        <f t="shared" si="267"/>
        <v>131.8986200030065</v>
      </c>
      <c r="GJ70" s="167" t="s">
        <v>591</v>
      </c>
      <c r="GK70" s="561">
        <f t="shared" ref="GK70:GM70" si="268">GK21+GK22</f>
        <v>3460.496212</v>
      </c>
      <c r="GL70" s="561">
        <f t="shared" si="268"/>
        <v>3618.4974451288954</v>
      </c>
      <c r="GM70" s="562">
        <f t="shared" si="268"/>
        <v>3985.5035287131304</v>
      </c>
      <c r="GO70" s="167" t="s">
        <v>591</v>
      </c>
      <c r="GP70" s="583">
        <f t="shared" ref="GP70:GX70" si="269">GP21+GP22</f>
        <v>3105.0326909999999</v>
      </c>
      <c r="GQ70" s="561">
        <f t="shared" si="269"/>
        <v>54.772483999999999</v>
      </c>
      <c r="GR70" s="562">
        <f t="shared" si="269"/>
        <v>300.691036</v>
      </c>
      <c r="GS70" s="583">
        <f t="shared" si="269"/>
        <v>3269.1330622779128</v>
      </c>
      <c r="GT70" s="561">
        <f t="shared" si="269"/>
        <v>53.706832774337755</v>
      </c>
      <c r="GU70" s="562">
        <f t="shared" si="269"/>
        <v>295.65755007664433</v>
      </c>
      <c r="GV70" s="583">
        <f t="shared" si="269"/>
        <v>3475.24992349283</v>
      </c>
      <c r="GW70" s="561">
        <f t="shared" si="269"/>
        <v>150.43951011021392</v>
      </c>
      <c r="GX70" s="562">
        <f t="shared" si="269"/>
        <v>359.81409511008002</v>
      </c>
      <c r="GZ70" s="167" t="s">
        <v>591</v>
      </c>
      <c r="HA70" s="583">
        <f t="shared" ref="HA70:HI70" si="270">HA21+HA22</f>
        <v>875.16693400000008</v>
      </c>
      <c r="HB70" s="561">
        <f t="shared" si="270"/>
        <v>2547.6092650000001</v>
      </c>
      <c r="HC70" s="562">
        <f t="shared" si="270"/>
        <v>37.720013000000108</v>
      </c>
      <c r="HD70" s="583">
        <f t="shared" si="270"/>
        <v>722.04718043762568</v>
      </c>
      <c r="HE70" s="561">
        <f t="shared" si="270"/>
        <v>2857.2298012742895</v>
      </c>
      <c r="HF70" s="562">
        <f t="shared" si="270"/>
        <v>39.220463416980238</v>
      </c>
      <c r="HG70" s="583">
        <f t="shared" si="270"/>
        <v>826.40459490258104</v>
      </c>
      <c r="HH70" s="561">
        <f t="shared" si="270"/>
        <v>3091.0729915409602</v>
      </c>
      <c r="HI70" s="562">
        <f t="shared" si="270"/>
        <v>68.02594226958945</v>
      </c>
      <c r="HK70" s="167" t="s">
        <v>591</v>
      </c>
      <c r="HL70" s="561">
        <f t="shared" ref="HL70:HO70" si="271">HL21+HL22</f>
        <v>3105.0326909999999</v>
      </c>
      <c r="HM70" s="561">
        <f t="shared" ref="HM70" si="272">HM21+HM22</f>
        <v>8896.9748309999995</v>
      </c>
      <c r="HN70" s="779">
        <f t="shared" si="10"/>
        <v>2.8653401482013576</v>
      </c>
      <c r="HO70" s="583">
        <f t="shared" si="271"/>
        <v>3269.1330622779128</v>
      </c>
      <c r="HP70" s="561">
        <f t="shared" ref="HP70" si="273">HP21+HP22</f>
        <v>9472.9371852668482</v>
      </c>
      <c r="HQ70" s="779">
        <f t="shared" si="11"/>
        <v>2.897690918296902</v>
      </c>
      <c r="HR70" s="561">
        <f>HR21+HR22</f>
        <v>3475.24992349283</v>
      </c>
      <c r="HS70" s="561">
        <f>HS21+HS22</f>
        <v>10362.555512517039</v>
      </c>
      <c r="HT70" s="784">
        <f t="shared" si="12"/>
        <v>2.9818159098330583</v>
      </c>
      <c r="HV70" s="167" t="s">
        <v>591</v>
      </c>
      <c r="HW70" s="583">
        <f>HW21+HW22</f>
        <v>807.41505099999995</v>
      </c>
      <c r="HX70" s="561">
        <f>HX21+HX22</f>
        <v>3744.689359</v>
      </c>
      <c r="HY70" s="790">
        <f t="shared" si="13"/>
        <v>4.6378741074520793</v>
      </c>
      <c r="HZ70" s="561">
        <f>HZ21+HZ22</f>
        <v>2259.8976270000003</v>
      </c>
      <c r="IA70" s="561">
        <f>IA21+IA22</f>
        <v>5110.2440210000004</v>
      </c>
      <c r="IB70" s="790">
        <f t="shared" si="14"/>
        <v>2.261272351431165</v>
      </c>
      <c r="IC70" s="583">
        <f>IC21+IC22</f>
        <v>685.79620260356853</v>
      </c>
      <c r="ID70" s="561">
        <f>ID21+ID22</f>
        <v>3158.3650664630059</v>
      </c>
      <c r="IE70" s="790">
        <f t="shared" si="15"/>
        <v>4.6053988844973688</v>
      </c>
      <c r="IF70" s="561">
        <f>IF21+IF22</f>
        <v>2544.1163962573646</v>
      </c>
      <c r="IG70" s="561">
        <f>IG21+IG22</f>
        <v>6267.6618621229973</v>
      </c>
      <c r="IH70" s="790">
        <f t="shared" si="126"/>
        <v>2.4635908448777419</v>
      </c>
      <c r="II70" s="583">
        <f>II21+II22</f>
        <v>748.72182035081096</v>
      </c>
      <c r="IJ70" s="561">
        <f>IJ21+IJ22</f>
        <v>3391.2477848546196</v>
      </c>
      <c r="IK70" s="790">
        <f t="shared" si="17"/>
        <v>4.5293828664772482</v>
      </c>
      <c r="IL70" s="561">
        <f>IL21+IL22</f>
        <v>2669.0733824490799</v>
      </c>
      <c r="IM70" s="561">
        <f>IM21+IM22</f>
        <v>6890.27503240839</v>
      </c>
      <c r="IN70" s="779">
        <f t="shared" si="18"/>
        <v>2.58152326485907</v>
      </c>
      <c r="IP70" s="167" t="s">
        <v>591</v>
      </c>
      <c r="IQ70" s="583">
        <f>IQ21+IQ22</f>
        <v>830.13876699999992</v>
      </c>
      <c r="IR70" s="561">
        <f t="shared" ref="IR70:JH70" si="274">IR21+IR22</f>
        <v>629.25268699999992</v>
      </c>
      <c r="IS70" s="561">
        <f t="shared" si="274"/>
        <v>662.33408400000008</v>
      </c>
      <c r="IT70" s="561">
        <f t="shared" si="274"/>
        <v>511.11538400000001</v>
      </c>
      <c r="IU70" s="561">
        <f t="shared" si="274"/>
        <v>472.19176900000002</v>
      </c>
      <c r="IV70" s="561">
        <f t="shared" si="274"/>
        <v>8896.9748309999995</v>
      </c>
      <c r="IW70" s="703">
        <f t="shared" si="274"/>
        <v>681.64032929061159</v>
      </c>
      <c r="IX70" s="704">
        <f t="shared" si="274"/>
        <v>805.3859158406583</v>
      </c>
      <c r="IY70" s="704">
        <f t="shared" si="274"/>
        <v>706.88648398860698</v>
      </c>
      <c r="IZ70" s="704">
        <f t="shared" si="274"/>
        <v>610.9335252228567</v>
      </c>
      <c r="JA70" s="704">
        <f t="shared" si="274"/>
        <v>464.28680793517935</v>
      </c>
      <c r="JB70" s="173">
        <f t="shared" si="274"/>
        <v>9472.9371852668482</v>
      </c>
      <c r="JC70" s="703">
        <f t="shared" si="274"/>
        <v>653.50226481161098</v>
      </c>
      <c r="JD70" s="704">
        <f t="shared" si="274"/>
        <v>746.96258666546396</v>
      </c>
      <c r="JE70" s="704">
        <f t="shared" si="274"/>
        <v>936.06630568641208</v>
      </c>
      <c r="JF70" s="704">
        <f t="shared" si="274"/>
        <v>630.880251553525</v>
      </c>
      <c r="JG70" s="704">
        <f t="shared" si="274"/>
        <v>507.83851477581902</v>
      </c>
      <c r="JH70" s="173">
        <f t="shared" si="274"/>
        <v>10362.555512517039</v>
      </c>
      <c r="JJ70" s="167" t="s">
        <v>591</v>
      </c>
      <c r="JK70" s="583">
        <f t="shared" ref="JK70:JV70" si="275">JK21+JK22</f>
        <v>1000.778973</v>
      </c>
      <c r="JL70" s="561">
        <f t="shared" si="275"/>
        <v>1632.0938390000001</v>
      </c>
      <c r="JM70" s="561">
        <f t="shared" si="275"/>
        <v>395.76531</v>
      </c>
      <c r="JN70" s="562">
        <f t="shared" si="275"/>
        <v>76.39456899999999</v>
      </c>
      <c r="JO70" s="583">
        <f t="shared" si="275"/>
        <v>1066.5361371075271</v>
      </c>
      <c r="JP70" s="561">
        <f t="shared" si="275"/>
        <v>1641.1626573883582</v>
      </c>
      <c r="JQ70" s="561">
        <f t="shared" si="275"/>
        <v>491.87217084169396</v>
      </c>
      <c r="JR70" s="562">
        <f t="shared" si="275"/>
        <v>69.562096940333248</v>
      </c>
      <c r="JS70" s="583">
        <f t="shared" si="275"/>
        <v>1088.289777734981</v>
      </c>
      <c r="JT70" s="561">
        <f t="shared" si="275"/>
        <v>1655.0001122496119</v>
      </c>
      <c r="JU70" s="561">
        <f t="shared" si="275"/>
        <v>687.37690195362802</v>
      </c>
      <c r="JV70" s="562">
        <f t="shared" si="275"/>
        <v>44.583131554615299</v>
      </c>
      <c r="JX70" s="167" t="s">
        <v>591</v>
      </c>
      <c r="JY70" s="583">
        <f t="shared" ref="JY70:KB70" si="276">JY21+JY22</f>
        <v>823.09810687368395</v>
      </c>
      <c r="JZ70" s="561">
        <f t="shared" si="276"/>
        <v>1072.4321599099121</v>
      </c>
      <c r="KA70" s="561">
        <f t="shared" si="276"/>
        <v>499.71047754318101</v>
      </c>
      <c r="KB70" s="562">
        <f t="shared" si="276"/>
        <v>1080.0091791660529</v>
      </c>
      <c r="KC70" s="604"/>
      <c r="KD70" s="167" t="s">
        <v>591</v>
      </c>
      <c r="KE70" s="583">
        <f t="shared" ref="KE70:KV70" si="277">KE21+KE22</f>
        <v>46.219947141851598</v>
      </c>
      <c r="KF70" s="561">
        <f t="shared" si="277"/>
        <v>58.998080303338696</v>
      </c>
      <c r="KG70" s="561">
        <f t="shared" si="277"/>
        <v>632.15748579979197</v>
      </c>
      <c r="KH70" s="561">
        <f t="shared" si="277"/>
        <v>717.44644438362889</v>
      </c>
      <c r="KI70" s="561">
        <f t="shared" si="277"/>
        <v>751.65997933842209</v>
      </c>
      <c r="KJ70" s="562">
        <f t="shared" si="277"/>
        <v>446.35203233567302</v>
      </c>
      <c r="KK70" s="583">
        <f t="shared" si="277"/>
        <v>195.51948953675361</v>
      </c>
      <c r="KL70" s="561">
        <f t="shared" si="277"/>
        <v>224.18487492219441</v>
      </c>
      <c r="KM70" s="561">
        <f t="shared" si="277"/>
        <v>185.52857207754681</v>
      </c>
      <c r="KN70" s="561">
        <f t="shared" si="277"/>
        <v>67.897590530432197</v>
      </c>
      <c r="KO70" s="561">
        <f t="shared" si="277"/>
        <v>60.4343076268473</v>
      </c>
      <c r="KP70" s="562">
        <f t="shared" si="277"/>
        <v>13.98240428920316</v>
      </c>
      <c r="KQ70" s="583">
        <f t="shared" si="277"/>
        <v>245.28419883787757</v>
      </c>
      <c r="KR70" s="561">
        <f t="shared" si="277"/>
        <v>286.49847925564302</v>
      </c>
      <c r="KS70" s="561">
        <f t="shared" si="277"/>
        <v>829.22404623070906</v>
      </c>
      <c r="KT70" s="561">
        <f t="shared" si="277"/>
        <v>788.78778148356901</v>
      </c>
      <c r="KU70" s="561">
        <f t="shared" si="277"/>
        <v>833.71867351061405</v>
      </c>
      <c r="KV70" s="562">
        <f t="shared" si="277"/>
        <v>471.97358692455202</v>
      </c>
      <c r="KW70" s="429"/>
      <c r="KX70" s="167" t="s">
        <v>591</v>
      </c>
      <c r="KY70" s="583">
        <f t="shared" ref="KY70:LA70" si="278">KY21+KY22</f>
        <v>1024.0258589999999</v>
      </c>
      <c r="KZ70" s="561">
        <f t="shared" si="278"/>
        <v>1610.0613669999998</v>
      </c>
      <c r="LA70" s="562">
        <f t="shared" si="278"/>
        <v>473.94546100000002</v>
      </c>
      <c r="LB70" s="583">
        <f t="shared" ref="LB70:LD70" si="279">LB21+LB22</f>
        <v>1006.5405903138695</v>
      </c>
      <c r="LC70" s="561">
        <f t="shared" si="279"/>
        <v>1818.0694692981733</v>
      </c>
      <c r="LD70" s="562">
        <f t="shared" si="279"/>
        <v>444.52300266586985</v>
      </c>
      <c r="LE70" s="583">
        <f t="shared" ref="LE70:LG70" si="280">LE21+LE22</f>
        <v>1084.9912098234242</v>
      </c>
      <c r="LF70" s="561">
        <f t="shared" si="280"/>
        <v>1913.6507172026018</v>
      </c>
      <c r="LG70" s="562">
        <f t="shared" si="280"/>
        <v>476.60799646680402</v>
      </c>
      <c r="LH70" s="426"/>
      <c r="LI70" s="167" t="s">
        <v>591</v>
      </c>
      <c r="LJ70" s="583">
        <f t="shared" ref="LJ70:MA70" si="281">LJ21+LJ22</f>
        <v>2363.6862259999998</v>
      </c>
      <c r="LK70" s="561">
        <f t="shared" si="281"/>
        <v>2144.1831460000003</v>
      </c>
      <c r="LL70" s="561">
        <f t="shared" si="281"/>
        <v>219.50308000000001</v>
      </c>
      <c r="LM70" s="561">
        <f t="shared" si="281"/>
        <v>1152.528335</v>
      </c>
      <c r="LN70" s="561">
        <f t="shared" si="281"/>
        <v>228.62712099999999</v>
      </c>
      <c r="LO70" s="562">
        <f t="shared" si="281"/>
        <v>152.10260400000001</v>
      </c>
      <c r="LP70" s="583">
        <f t="shared" si="281"/>
        <v>2680.1729931692344</v>
      </c>
      <c r="LQ70" s="561">
        <f t="shared" si="281"/>
        <v>2281.1268209935356</v>
      </c>
      <c r="LR70" s="561">
        <f t="shared" si="281"/>
        <v>399.04617217569853</v>
      </c>
      <c r="LS70" s="561">
        <f t="shared" si="281"/>
        <v>965.99366677112744</v>
      </c>
      <c r="LT70" s="561">
        <f t="shared" si="281"/>
        <v>185.70620195071081</v>
      </c>
      <c r="LU70" s="562">
        <f t="shared" si="281"/>
        <v>198.57427774034687</v>
      </c>
      <c r="LV70" s="583">
        <f t="shared" si="281"/>
        <v>2774.7484206547397</v>
      </c>
      <c r="LW70" s="561">
        <f t="shared" si="281"/>
        <v>2417.2507316885203</v>
      </c>
      <c r="LX70" s="561">
        <f t="shared" si="281"/>
        <v>357.49768896621401</v>
      </c>
      <c r="LY70" s="561">
        <f t="shared" si="281"/>
        <v>1066.7659195736039</v>
      </c>
      <c r="LZ70" s="561">
        <f t="shared" si="281"/>
        <v>182.8877884363533</v>
      </c>
      <c r="MA70" s="562">
        <f t="shared" si="281"/>
        <v>167.6502196289984</v>
      </c>
      <c r="MC70" s="167" t="s">
        <v>591</v>
      </c>
      <c r="MD70" s="583">
        <f t="shared" ref="MD70:MU70" si="282">MD21+MD22</f>
        <v>0</v>
      </c>
      <c r="ME70" s="561">
        <f t="shared" si="282"/>
        <v>81.729143999999991</v>
      </c>
      <c r="MF70" s="561">
        <f t="shared" si="282"/>
        <v>528.051693</v>
      </c>
      <c r="MG70" s="561">
        <f t="shared" si="282"/>
        <v>777.31504100000006</v>
      </c>
      <c r="MH70" s="561">
        <f t="shared" si="282"/>
        <v>477.39849099999998</v>
      </c>
      <c r="MI70" s="562">
        <f t="shared" si="282"/>
        <v>278.68877799999996</v>
      </c>
      <c r="MJ70" s="583">
        <f t="shared" si="282"/>
        <v>0</v>
      </c>
      <c r="MK70" s="561">
        <f t="shared" si="282"/>
        <v>80.445034945422236</v>
      </c>
      <c r="ML70" s="561">
        <f t="shared" si="282"/>
        <v>797.67333577658701</v>
      </c>
      <c r="MM70" s="561">
        <f t="shared" si="282"/>
        <v>664.65311537742002</v>
      </c>
      <c r="MN70" s="561">
        <f t="shared" si="282"/>
        <v>486.9487781807951</v>
      </c>
      <c r="MO70" s="562">
        <f t="shared" si="282"/>
        <v>253.40655515028593</v>
      </c>
      <c r="MP70" s="583">
        <f t="shared" si="282"/>
        <v>4.1404859426567997</v>
      </c>
      <c r="MQ70" s="561">
        <f t="shared" si="282"/>
        <v>94.287613259439297</v>
      </c>
      <c r="MR70" s="561">
        <f t="shared" si="282"/>
        <v>824.48957819028305</v>
      </c>
      <c r="MS70" s="561">
        <f t="shared" si="282"/>
        <v>716.5230445200441</v>
      </c>
      <c r="MT70" s="561">
        <f t="shared" si="282"/>
        <v>534.29478265897706</v>
      </c>
      <c r="MU70" s="562">
        <f t="shared" si="282"/>
        <v>239.51522305558211</v>
      </c>
      <c r="MW70" s="167" t="s">
        <v>591</v>
      </c>
      <c r="MX70" s="583">
        <f t="shared" ref="MX70:NF70" si="283">MX21+MX22</f>
        <v>2151.7651650000003</v>
      </c>
      <c r="MY70" s="561">
        <f t="shared" si="283"/>
        <v>1985.1753000000001</v>
      </c>
      <c r="MZ70" s="561">
        <f t="shared" si="283"/>
        <v>166.589865</v>
      </c>
      <c r="NA70" s="583">
        <f t="shared" si="283"/>
        <v>2294.2854329981587</v>
      </c>
      <c r="NB70" s="561">
        <f t="shared" si="283"/>
        <v>2041.4565058255062</v>
      </c>
      <c r="NC70" s="562">
        <f t="shared" si="283"/>
        <v>252.8289271726525</v>
      </c>
      <c r="ND70" s="583">
        <f t="shared" si="283"/>
        <v>2453.3057366388002</v>
      </c>
      <c r="NE70" s="561">
        <f t="shared" si="283"/>
        <v>2159.5121552129604</v>
      </c>
      <c r="NF70" s="562">
        <f t="shared" si="283"/>
        <v>293.79358142583402</v>
      </c>
      <c r="NH70" s="167" t="s">
        <v>591</v>
      </c>
      <c r="NI70" s="583">
        <f t="shared" ref="NI70:NR70" si="284">NI21+NI22</f>
        <v>1514.7327664377758</v>
      </c>
      <c r="NJ70" s="562">
        <f t="shared" si="284"/>
        <v>526.72373938773035</v>
      </c>
      <c r="NK70" s="583">
        <f t="shared" si="284"/>
        <v>116.68007265725922</v>
      </c>
      <c r="NL70" s="561">
        <f t="shared" si="284"/>
        <v>134.21951141854692</v>
      </c>
      <c r="NM70" s="562">
        <f t="shared" si="284"/>
        <v>1.9293430968463561</v>
      </c>
      <c r="NN70" s="583">
        <f t="shared" si="284"/>
        <v>1670.9654556981809</v>
      </c>
      <c r="NO70" s="562">
        <f t="shared" si="284"/>
        <v>488.54669951478064</v>
      </c>
      <c r="NP70" s="583">
        <f t="shared" si="284"/>
        <v>197.13697182843811</v>
      </c>
      <c r="NQ70" s="561">
        <f t="shared" si="284"/>
        <v>92.346170605293509</v>
      </c>
      <c r="NR70" s="562">
        <f t="shared" si="284"/>
        <v>4.3104389921026902</v>
      </c>
      <c r="NS70" s="136"/>
      <c r="NT70" s="167" t="s">
        <v>591</v>
      </c>
      <c r="NU70" s="583">
        <f t="shared" ref="NU70:OB70" si="285">NU21+NU22</f>
        <v>303.33972730523487</v>
      </c>
      <c r="NV70" s="561">
        <f t="shared" si="285"/>
        <v>47.899924361525912</v>
      </c>
      <c r="NW70" s="561">
        <f t="shared" si="285"/>
        <v>11.731797902074668</v>
      </c>
      <c r="NX70" s="562">
        <f t="shared" si="285"/>
        <v>163.75228981889495</v>
      </c>
      <c r="NY70" s="583">
        <f t="shared" si="285"/>
        <v>244.17704458147603</v>
      </c>
      <c r="NZ70" s="561">
        <f t="shared" si="285"/>
        <v>52.382532670780407</v>
      </c>
      <c r="OA70" s="561">
        <f t="shared" si="285"/>
        <v>6.3051042942670996</v>
      </c>
      <c r="OB70" s="562">
        <f t="shared" si="285"/>
        <v>185.68201796825718</v>
      </c>
      <c r="OC70" s="553"/>
      <c r="OD70" s="167" t="s">
        <v>591</v>
      </c>
      <c r="OE70" s="583">
        <f t="shared" ref="OE70:OR70" si="286">OE21+OE22</f>
        <v>143.5116758800965</v>
      </c>
      <c r="OF70" s="561">
        <f t="shared" si="286"/>
        <v>320.98704060631997</v>
      </c>
      <c r="OG70" s="561">
        <f t="shared" si="286"/>
        <v>236.774000821333</v>
      </c>
      <c r="OH70" s="561">
        <f t="shared" si="286"/>
        <v>175.90475760378501</v>
      </c>
      <c r="OI70" s="561">
        <f t="shared" si="286"/>
        <v>1098.7212084970731</v>
      </c>
      <c r="OJ70" s="561">
        <f t="shared" si="286"/>
        <v>123.7152558930472</v>
      </c>
      <c r="OK70" s="562">
        <f t="shared" si="286"/>
        <v>59.098626213836901</v>
      </c>
      <c r="OL70" s="583">
        <f t="shared" si="286"/>
        <v>209.0662257507112</v>
      </c>
      <c r="OM70" s="561">
        <f t="shared" si="286"/>
        <v>322.00634307255399</v>
      </c>
      <c r="ON70" s="561">
        <f t="shared" si="286"/>
        <v>236.774000821333</v>
      </c>
      <c r="OO70" s="561">
        <f t="shared" si="286"/>
        <v>182.28018589788002</v>
      </c>
      <c r="OP70" s="561">
        <f t="shared" si="286"/>
        <v>1287.758412188738</v>
      </c>
      <c r="OQ70" s="561">
        <f t="shared" si="286"/>
        <v>496.761428110743</v>
      </c>
      <c r="OR70" s="562">
        <f t="shared" si="286"/>
        <v>3256.7660315440799</v>
      </c>
      <c r="OT70" s="167" t="s">
        <v>591</v>
      </c>
      <c r="OU70" s="583">
        <f t="shared" ref="OU70:PF70" si="287">OU21+OU22</f>
        <v>765.05406599999992</v>
      </c>
      <c r="OV70" s="561">
        <f t="shared" si="287"/>
        <v>571.36896200000001</v>
      </c>
      <c r="OW70" s="561">
        <f t="shared" si="287"/>
        <v>585.95107600000006</v>
      </c>
      <c r="OX70" s="562">
        <f t="shared" si="287"/>
        <v>1337.9922139999999</v>
      </c>
      <c r="OY70" s="583">
        <f t="shared" si="287"/>
        <v>851.87424048761238</v>
      </c>
      <c r="OZ70" s="561">
        <f t="shared" si="287"/>
        <v>519.45650647431364</v>
      </c>
      <c r="PA70" s="561">
        <f t="shared" si="287"/>
        <v>581.76708192246963</v>
      </c>
      <c r="PB70" s="562">
        <f t="shared" si="287"/>
        <v>1563.9244352148066</v>
      </c>
      <c r="PC70" s="583">
        <f t="shared" si="287"/>
        <v>768.5996045462</v>
      </c>
      <c r="PD70" s="561">
        <f t="shared" si="287"/>
        <v>582.71269127420999</v>
      </c>
      <c r="PE70" s="561">
        <f t="shared" si="287"/>
        <v>568.676655724125</v>
      </c>
      <c r="PF70" s="562">
        <f t="shared" si="287"/>
        <v>1846.1372579891631</v>
      </c>
      <c r="PH70" s="167" t="s">
        <v>591</v>
      </c>
      <c r="PI70" s="583">
        <f t="shared" ref="PI70:PP70" si="288">PI21+PI22</f>
        <v>304.86573585812425</v>
      </c>
      <c r="PJ70" s="561">
        <f t="shared" si="288"/>
        <v>329.597670557789</v>
      </c>
      <c r="PK70" s="561">
        <f t="shared" si="288"/>
        <v>266.14783508041899</v>
      </c>
      <c r="PL70" s="562">
        <f t="shared" si="288"/>
        <v>829.89021405254834</v>
      </c>
      <c r="PM70" s="583">
        <f t="shared" si="288"/>
        <v>463.73386868807506</v>
      </c>
      <c r="PN70" s="561">
        <f t="shared" si="288"/>
        <v>253.11502071642099</v>
      </c>
      <c r="PO70" s="561">
        <f t="shared" si="288"/>
        <v>302.52882064370453</v>
      </c>
      <c r="PP70" s="562">
        <f t="shared" si="288"/>
        <v>1016.2470439366131</v>
      </c>
      <c r="PQ70" s="65"/>
      <c r="PR70" s="169" t="s">
        <v>591</v>
      </c>
      <c r="PS70" s="1038">
        <f t="shared" ref="PS70:PW70" si="289">PS21+PS22</f>
        <v>69.232083139352596</v>
      </c>
      <c r="PT70" s="1039">
        <f t="shared" si="289"/>
        <v>518.95331633059902</v>
      </c>
      <c r="PU70" s="1039">
        <f t="shared" si="289"/>
        <v>316.72885126254499</v>
      </c>
      <c r="PV70" s="1039">
        <f t="shared" si="289"/>
        <v>25.193515532049542</v>
      </c>
      <c r="PW70" s="1039">
        <f t="shared" si="289"/>
        <v>1155.616680956547</v>
      </c>
      <c r="PX70" s="1040">
        <f t="shared" ref="PX70" si="290">PX21+PX22</f>
        <v>363.58128535616299</v>
      </c>
      <c r="PZ70" s="169" t="s">
        <v>591</v>
      </c>
      <c r="QA70" s="1038">
        <f t="shared" ref="QA70:QF70" si="291">QA21+QA22</f>
        <v>1587.8846551882361</v>
      </c>
      <c r="QB70" s="1039">
        <f t="shared" si="291"/>
        <v>865.42108145056</v>
      </c>
      <c r="QC70" s="1039">
        <f t="shared" si="291"/>
        <v>701.56520077014693</v>
      </c>
      <c r="QD70" s="1039">
        <f t="shared" ref="QD70" si="292">QD21+QD22</f>
        <v>58.298174251411204</v>
      </c>
      <c r="QE70" s="1039">
        <f t="shared" si="291"/>
        <v>105.557706429002</v>
      </c>
      <c r="QF70" s="1040">
        <f t="shared" si="291"/>
        <v>0</v>
      </c>
    </row>
    <row r="71" spans="1:448" ht="13.5" customHeight="1">
      <c r="A71" s="136"/>
      <c r="B71" s="167" t="s">
        <v>592</v>
      </c>
      <c r="C71" s="561">
        <f t="shared" ref="C71:E71" si="293">C23+C24</f>
        <v>4540.7260139999999</v>
      </c>
      <c r="D71" s="561">
        <f t="shared" si="293"/>
        <v>5325.4476238697025</v>
      </c>
      <c r="E71" s="562">
        <f t="shared" si="293"/>
        <v>4770.5167121168997</v>
      </c>
      <c r="F71" s="136"/>
      <c r="G71" s="167" t="s">
        <v>592</v>
      </c>
      <c r="H71" s="318">
        <f t="shared" si="5"/>
        <v>3.2395645413167307E-2</v>
      </c>
      <c r="I71" s="668">
        <f t="shared" si="6"/>
        <v>-2.1768010395001647E-2</v>
      </c>
      <c r="J71" s="612"/>
      <c r="K71" s="63"/>
      <c r="L71" s="167" t="s">
        <v>592</v>
      </c>
      <c r="M71" s="583">
        <f t="shared" ref="M71:T71" si="294">M23+M24</f>
        <v>65</v>
      </c>
      <c r="N71" s="561">
        <f t="shared" si="294"/>
        <v>75</v>
      </c>
      <c r="O71" s="561">
        <f t="shared" si="294"/>
        <v>61</v>
      </c>
      <c r="P71" s="561">
        <f t="shared" si="294"/>
        <v>88</v>
      </c>
      <c r="Q71" s="561">
        <f t="shared" si="294"/>
        <v>64</v>
      </c>
      <c r="R71" s="561">
        <f t="shared" si="294"/>
        <v>72</v>
      </c>
      <c r="S71" s="561">
        <f t="shared" si="294"/>
        <v>49</v>
      </c>
      <c r="T71" s="561">
        <f t="shared" si="294"/>
        <v>71</v>
      </c>
      <c r="U71" s="561">
        <f t="shared" ref="U71:V71" si="295">U23+U24</f>
        <v>50</v>
      </c>
      <c r="V71" s="561">
        <f t="shared" si="295"/>
        <v>59</v>
      </c>
      <c r="W71" s="562">
        <f t="shared" ref="W71" si="296">W23+W24</f>
        <v>53</v>
      </c>
      <c r="X71" s="167" t="s">
        <v>592</v>
      </c>
      <c r="Y71" s="583">
        <f t="shared" ref="Y71:AA71" si="297">Y23+Y24</f>
        <v>70</v>
      </c>
      <c r="Z71" s="561">
        <f t="shared" si="297"/>
        <v>74.5</v>
      </c>
      <c r="AA71" s="561">
        <f t="shared" si="297"/>
        <v>68</v>
      </c>
      <c r="AB71" s="561">
        <f>AB23+AB24</f>
        <v>60</v>
      </c>
      <c r="AC71" s="1206">
        <f t="shared" ref="AC71" si="298">AC23+AC24</f>
        <v>60</v>
      </c>
      <c r="AD71" s="336">
        <f t="shared" si="98"/>
        <v>6.4285714285714279E-2</v>
      </c>
      <c r="AE71" s="336">
        <f t="shared" si="99"/>
        <v>-8.7248322147651006E-2</v>
      </c>
      <c r="AF71" s="336">
        <f t="shared" si="100"/>
        <v>-0.11764705882352941</v>
      </c>
      <c r="AG71" s="1217">
        <f t="shared" si="101"/>
        <v>0</v>
      </c>
      <c r="AN71" s="167" t="s">
        <v>592</v>
      </c>
      <c r="AO71" s="583">
        <f t="shared" ref="AO71:AV71" si="299">AO23+AO24</f>
        <v>0</v>
      </c>
      <c r="AP71" s="561">
        <f t="shared" si="299"/>
        <v>54.759712999999998</v>
      </c>
      <c r="AQ71" s="561">
        <f t="shared" si="299"/>
        <v>210.25550799999999</v>
      </c>
      <c r="AR71" s="561">
        <f t="shared" si="299"/>
        <v>514.55424900000003</v>
      </c>
      <c r="AS71" s="561">
        <f t="shared" si="299"/>
        <v>958.1950710000001</v>
      </c>
      <c r="AT71" s="561">
        <f t="shared" si="299"/>
        <v>520.82332700000006</v>
      </c>
      <c r="AU71" s="561">
        <f t="shared" si="299"/>
        <v>669.81938600000001</v>
      </c>
      <c r="AV71" s="562">
        <f t="shared" si="299"/>
        <v>814.34729199999992</v>
      </c>
      <c r="AW71" s="583">
        <f t="shared" ref="AW71:BD71" si="300">AW23+AW24</f>
        <v>0</v>
      </c>
      <c r="AX71" s="561">
        <f t="shared" si="300"/>
        <v>54.079490894316947</v>
      </c>
      <c r="AY71" s="561">
        <f t="shared" si="300"/>
        <v>257.13062063563126</v>
      </c>
      <c r="AZ71" s="561">
        <f t="shared" si="300"/>
        <v>575.55055130184883</v>
      </c>
      <c r="BA71" s="561">
        <f t="shared" si="300"/>
        <v>969.06183494943662</v>
      </c>
      <c r="BB71" s="561">
        <f t="shared" si="300"/>
        <v>597.7232272394474</v>
      </c>
      <c r="BC71" s="561">
        <f t="shared" si="300"/>
        <v>644.30245778653375</v>
      </c>
      <c r="BD71" s="562">
        <f t="shared" si="300"/>
        <v>1084.4386474994847</v>
      </c>
      <c r="BE71" s="583">
        <f t="shared" ref="BE71:BL71" si="301">BE23+BE24</f>
        <v>3.0371151438572399</v>
      </c>
      <c r="BF71" s="561">
        <f t="shared" si="301"/>
        <v>35.850326960765727</v>
      </c>
      <c r="BG71" s="561">
        <f t="shared" si="301"/>
        <v>254.528751675248</v>
      </c>
      <c r="BH71" s="561">
        <f t="shared" si="301"/>
        <v>606.62859005127393</v>
      </c>
      <c r="BI71" s="561">
        <f t="shared" si="301"/>
        <v>779.2236159677509</v>
      </c>
      <c r="BJ71" s="561">
        <f t="shared" si="301"/>
        <v>561.52319190639002</v>
      </c>
      <c r="BK71" s="561">
        <f t="shared" si="301"/>
        <v>616.84992634531909</v>
      </c>
      <c r="BL71" s="562">
        <f t="shared" si="301"/>
        <v>1065.1102576251601</v>
      </c>
      <c r="BN71" s="167" t="s">
        <v>592</v>
      </c>
      <c r="BO71" s="583">
        <f t="shared" ref="BO71:BT71" si="302">BO23+BO24</f>
        <v>797.97146999999995</v>
      </c>
      <c r="BP71" s="561">
        <f t="shared" si="302"/>
        <v>1442.8436489999999</v>
      </c>
      <c r="BQ71" s="561">
        <f t="shared" si="302"/>
        <v>958.4068299999999</v>
      </c>
      <c r="BR71" s="561">
        <f t="shared" si="302"/>
        <v>665.76286200000004</v>
      </c>
      <c r="BS71" s="561">
        <f t="shared" si="302"/>
        <v>379.45292999999998</v>
      </c>
      <c r="BT71" s="562">
        <f t="shared" si="302"/>
        <v>296.288274</v>
      </c>
      <c r="BU71" s="583">
        <f t="shared" ref="BU71:BZ71" si="303">BU23+BU24</f>
        <v>1142.1607943445149</v>
      </c>
      <c r="BV71" s="561">
        <f t="shared" si="303"/>
        <v>1611.5252315001783</v>
      </c>
      <c r="BW71" s="561">
        <f t="shared" si="303"/>
        <v>1042.1894228949532</v>
      </c>
      <c r="BX71" s="561">
        <f t="shared" si="303"/>
        <v>789.87874525715551</v>
      </c>
      <c r="BY71" s="561">
        <f t="shared" si="303"/>
        <v>499.24683178980524</v>
      </c>
      <c r="BZ71" s="562">
        <f t="shared" si="303"/>
        <v>240.44659808309422</v>
      </c>
      <c r="CA71" s="583">
        <f t="shared" ref="CA71:CF71" si="304">CA23+CA24</f>
        <v>846.7649354257519</v>
      </c>
      <c r="CB71" s="561">
        <f t="shared" si="304"/>
        <v>1505.41766562988</v>
      </c>
      <c r="CC71" s="561">
        <f t="shared" si="304"/>
        <v>976.99934506282295</v>
      </c>
      <c r="CD71" s="561">
        <f t="shared" si="304"/>
        <v>725.11317972599295</v>
      </c>
      <c r="CE71" s="561">
        <f t="shared" si="304"/>
        <v>487.22462719717799</v>
      </c>
      <c r="CF71" s="562">
        <f t="shared" si="304"/>
        <v>228.99695907527598</v>
      </c>
      <c r="CG71" s="429"/>
      <c r="CH71" s="167" t="s">
        <v>592</v>
      </c>
      <c r="CI71" s="583">
        <f t="shared" ref="CI71:CK71" si="305">CI23+CI24</f>
        <v>1143.0952520000001</v>
      </c>
      <c r="CJ71" s="561">
        <f t="shared" si="305"/>
        <v>2882.7699830000001</v>
      </c>
      <c r="CK71" s="561">
        <f t="shared" si="305"/>
        <v>514.86077999999998</v>
      </c>
      <c r="CL71" s="583">
        <f t="shared" ref="CL71:CN71" si="306">CL23+CL24</f>
        <v>1665.3624285804665</v>
      </c>
      <c r="CM71" s="561">
        <f t="shared" si="306"/>
        <v>3118.7396804097839</v>
      </c>
      <c r="CN71" s="561">
        <f t="shared" si="306"/>
        <v>541.34551487945123</v>
      </c>
      <c r="CO71" s="583">
        <f t="shared" ref="CO71:CQ71" si="307">CO23+CO24</f>
        <v>1325.6992946368541</v>
      </c>
      <c r="CP71" s="561">
        <f t="shared" si="307"/>
        <v>2897.5903538852499</v>
      </c>
      <c r="CQ71" s="562">
        <f t="shared" si="307"/>
        <v>547.22706359479503</v>
      </c>
      <c r="CR71" s="429"/>
      <c r="DG71" s="167" t="s">
        <v>592</v>
      </c>
      <c r="DH71" s="829"/>
      <c r="DI71" s="830"/>
      <c r="DJ71" s="830"/>
      <c r="DK71" s="830"/>
      <c r="DL71" s="830"/>
      <c r="DM71" s="831"/>
      <c r="DO71" s="167" t="s">
        <v>592</v>
      </c>
      <c r="DP71" s="704">
        <f t="shared" ref="DP71:DR71" si="308">DP23+DP24</f>
        <v>2364.6941029999998</v>
      </c>
      <c r="DQ71" s="561">
        <f t="shared" si="308"/>
        <v>2678.6540036327988</v>
      </c>
      <c r="DR71" s="562">
        <f t="shared" si="308"/>
        <v>2690.6381189246199</v>
      </c>
      <c r="DS71" s="63"/>
      <c r="DT71" s="167" t="s">
        <v>592</v>
      </c>
      <c r="DU71" s="583">
        <f t="shared" ref="DU71:DW71" si="309">DU23+DU24</f>
        <v>4435.7261429999999</v>
      </c>
      <c r="DV71" s="561">
        <f t="shared" si="309"/>
        <v>5284.4476559117247</v>
      </c>
      <c r="DW71" s="562">
        <f t="shared" si="309"/>
        <v>4734.5166755630398</v>
      </c>
      <c r="DX71" s="63"/>
      <c r="DY71" s="167" t="s">
        <v>592</v>
      </c>
      <c r="DZ71" s="1092">
        <f t="shared" si="32"/>
        <v>1.8758139318622897</v>
      </c>
      <c r="EA71" s="790">
        <f t="shared" si="33"/>
        <v>1.9727996406945207</v>
      </c>
      <c r="EB71" s="779">
        <f t="shared" si="34"/>
        <v>1.7596259572265729</v>
      </c>
      <c r="ED71" s="541"/>
      <c r="EE71" s="167" t="s">
        <v>592</v>
      </c>
      <c r="EF71" s="583">
        <f t="shared" ref="EF71:EJ71" si="310">EF23+EF24</f>
        <v>1181.207318</v>
      </c>
      <c r="EG71" s="561">
        <f t="shared" si="310"/>
        <v>57.409579999999998</v>
      </c>
      <c r="EH71" s="561">
        <f t="shared" si="310"/>
        <v>427.51630599999999</v>
      </c>
      <c r="EI71" s="561">
        <f t="shared" si="310"/>
        <v>384.952968</v>
      </c>
      <c r="EJ71" s="561">
        <f t="shared" si="310"/>
        <v>313.60793200000001</v>
      </c>
      <c r="EK71" s="583">
        <f t="shared" ref="EK71:EO71" si="311">EK23+EK24</f>
        <v>1374.6408998586221</v>
      </c>
      <c r="EL71" s="561">
        <f t="shared" si="311"/>
        <v>72.514193291589947</v>
      </c>
      <c r="EM71" s="561">
        <f t="shared" si="311"/>
        <v>366.89834645748908</v>
      </c>
      <c r="EN71" s="561">
        <f t="shared" si="311"/>
        <v>468.78970071868895</v>
      </c>
      <c r="EO71" s="561">
        <f t="shared" si="311"/>
        <v>395.81086330640818</v>
      </c>
      <c r="EP71" s="583">
        <f t="shared" ref="EP71:ET71" si="312">EP23+EP24</f>
        <v>1551.7020063989548</v>
      </c>
      <c r="EQ71" s="561">
        <f t="shared" si="312"/>
        <v>86.183222793100612</v>
      </c>
      <c r="ER71" s="561">
        <f t="shared" si="312"/>
        <v>360.66436478889602</v>
      </c>
      <c r="ES71" s="561">
        <f t="shared" si="312"/>
        <v>337.14429903757599</v>
      </c>
      <c r="ET71" s="562">
        <f t="shared" si="312"/>
        <v>354.944225906094</v>
      </c>
      <c r="EV71" s="167" t="s">
        <v>592</v>
      </c>
      <c r="EW71" s="583">
        <f t="shared" ref="EW71:FD71" si="313">EW23+EW24</f>
        <v>397.64470299999999</v>
      </c>
      <c r="EX71" s="561">
        <f t="shared" si="313"/>
        <v>435.13606300000004</v>
      </c>
      <c r="EY71" s="561">
        <f t="shared" si="313"/>
        <v>254.860275</v>
      </c>
      <c r="EZ71" s="561">
        <f t="shared" si="313"/>
        <v>93.566277999999997</v>
      </c>
      <c r="FA71" s="583">
        <f t="shared" si="313"/>
        <v>974.79884400000003</v>
      </c>
      <c r="FB71" s="561">
        <f t="shared" si="313"/>
        <v>1821.194821</v>
      </c>
      <c r="FC71" s="561">
        <f t="shared" si="313"/>
        <v>671.18256399999996</v>
      </c>
      <c r="FD71" s="561">
        <f t="shared" si="313"/>
        <v>170.57844299999999</v>
      </c>
      <c r="FE71" s="583">
        <f t="shared" ref="FE71:FL71" si="314">FE23+FE24</f>
        <v>500.87489471037105</v>
      </c>
      <c r="FF71" s="561">
        <f t="shared" si="314"/>
        <v>462.80697358555744</v>
      </c>
      <c r="FG71" s="561">
        <f t="shared" si="314"/>
        <v>326.65266290554064</v>
      </c>
      <c r="FH71" s="562">
        <f t="shared" si="314"/>
        <v>84.306368657153143</v>
      </c>
      <c r="FI71" s="583">
        <f t="shared" si="314"/>
        <v>1151.7639841946543</v>
      </c>
      <c r="FJ71" s="561">
        <f t="shared" si="314"/>
        <v>2051.1151950286649</v>
      </c>
      <c r="FK71" s="561">
        <f t="shared" si="314"/>
        <v>789.59781001832857</v>
      </c>
      <c r="FL71" s="562">
        <f t="shared" si="314"/>
        <v>149.80987232556106</v>
      </c>
      <c r="FM71" s="703">
        <f t="shared" ref="FM71:FT71" si="315">FM23+FM24</f>
        <v>550.60719203102201</v>
      </c>
      <c r="FN71" s="704">
        <f t="shared" si="315"/>
        <v>548.01036242163605</v>
      </c>
      <c r="FO71" s="704">
        <f t="shared" si="315"/>
        <v>386.41303679835102</v>
      </c>
      <c r="FP71" s="173">
        <f t="shared" si="315"/>
        <v>66.671415147946604</v>
      </c>
      <c r="FQ71" s="703">
        <f t="shared" si="315"/>
        <v>1120.125534111464</v>
      </c>
      <c r="FR71" s="704">
        <f t="shared" si="315"/>
        <v>1860.820681130604</v>
      </c>
      <c r="FS71" s="704">
        <f t="shared" si="315"/>
        <v>791.66522658693407</v>
      </c>
      <c r="FT71" s="173">
        <f t="shared" si="315"/>
        <v>115.14029830828241</v>
      </c>
      <c r="FV71" s="167" t="s">
        <v>592</v>
      </c>
      <c r="FW71" s="583">
        <f t="shared" ref="FW71:GH71" si="316">FW23+FW24</f>
        <v>470.838369</v>
      </c>
      <c r="FX71" s="561">
        <f t="shared" si="316"/>
        <v>335.18710799999997</v>
      </c>
      <c r="FY71" s="561">
        <f t="shared" si="316"/>
        <v>232.09997299999998</v>
      </c>
      <c r="FZ71" s="562">
        <f t="shared" si="316"/>
        <v>91.915489999999991</v>
      </c>
      <c r="GA71" s="583">
        <f t="shared" si="316"/>
        <v>438.37613202728471</v>
      </c>
      <c r="GB71" s="561">
        <f t="shared" si="316"/>
        <v>336.67075482296025</v>
      </c>
      <c r="GC71" s="561">
        <f t="shared" si="316"/>
        <v>267.69519687708339</v>
      </c>
      <c r="GD71" s="562">
        <f t="shared" si="316"/>
        <v>195.24955807219442</v>
      </c>
      <c r="GE71" s="583">
        <f t="shared" si="316"/>
        <v>430.87865594139896</v>
      </c>
      <c r="GF71" s="561">
        <f t="shared" si="316"/>
        <v>280.47769455461901</v>
      </c>
      <c r="GG71" s="561">
        <f t="shared" si="316"/>
        <v>226.26135948569998</v>
      </c>
      <c r="GH71" s="562">
        <f t="shared" si="316"/>
        <v>119.0889742763711</v>
      </c>
      <c r="GJ71" s="167" t="s">
        <v>592</v>
      </c>
      <c r="GK71" s="561">
        <f t="shared" ref="GK71:GM71" si="317">GK23+GK24</f>
        <v>2593.9971139999998</v>
      </c>
      <c r="GL71" s="561">
        <f t="shared" si="317"/>
        <v>2898.9261265650907</v>
      </c>
      <c r="GM71" s="562">
        <f t="shared" si="317"/>
        <v>2991.00273203086</v>
      </c>
      <c r="GO71" s="167" t="s">
        <v>592</v>
      </c>
      <c r="GP71" s="583">
        <f t="shared" ref="GP71:GX71" si="318">GP23+GP24</f>
        <v>2364.6941029999998</v>
      </c>
      <c r="GQ71" s="561">
        <f t="shared" si="318"/>
        <v>59.676639999999992</v>
      </c>
      <c r="GR71" s="562">
        <f t="shared" si="318"/>
        <v>169.62637100000001</v>
      </c>
      <c r="GS71" s="583">
        <f t="shared" si="318"/>
        <v>2678.6540036327988</v>
      </c>
      <c r="GT71" s="561">
        <f t="shared" si="318"/>
        <v>26.719613864213777</v>
      </c>
      <c r="GU71" s="562">
        <f t="shared" si="318"/>
        <v>193.55250906807825</v>
      </c>
      <c r="GV71" s="583">
        <f t="shared" si="318"/>
        <v>2690.6381189246199</v>
      </c>
      <c r="GW71" s="561">
        <f t="shared" si="318"/>
        <v>54.727416329319595</v>
      </c>
      <c r="GX71" s="562">
        <f t="shared" si="318"/>
        <v>245.63719677692069</v>
      </c>
      <c r="GZ71" s="167" t="s">
        <v>592</v>
      </c>
      <c r="HA71" s="583">
        <f t="shared" ref="HA71:HI71" si="319">HA23+HA24</f>
        <v>181.35602799999998</v>
      </c>
      <c r="HB71" s="561">
        <f t="shared" si="319"/>
        <v>2395.7660900000001</v>
      </c>
      <c r="HC71" s="562">
        <f t="shared" si="319"/>
        <v>16.874996000000237</v>
      </c>
      <c r="HD71" s="583">
        <f t="shared" si="319"/>
        <v>250.14607795639</v>
      </c>
      <c r="HE71" s="561">
        <f t="shared" si="319"/>
        <v>2631.403399021392</v>
      </c>
      <c r="HF71" s="562">
        <f t="shared" si="319"/>
        <v>17.376649587308748</v>
      </c>
      <c r="HG71" s="583">
        <f t="shared" si="319"/>
        <v>235.45048330894701</v>
      </c>
      <c r="HH71" s="561">
        <f t="shared" si="319"/>
        <v>2744.71138792275</v>
      </c>
      <c r="HI71" s="562">
        <f t="shared" si="319"/>
        <v>10.840860799163011</v>
      </c>
      <c r="HK71" s="167" t="s">
        <v>592</v>
      </c>
      <c r="HL71" s="561">
        <f t="shared" ref="HL71:HO71" si="320">HL23+HL24</f>
        <v>2364.6941029999998</v>
      </c>
      <c r="HM71" s="561">
        <f t="shared" ref="HM71" si="321">HM23+HM24</f>
        <v>6990.785484</v>
      </c>
      <c r="HN71" s="779">
        <f t="shared" si="10"/>
        <v>2.9563170454609962</v>
      </c>
      <c r="HO71" s="583">
        <f t="shared" si="320"/>
        <v>2678.6540036327988</v>
      </c>
      <c r="HP71" s="561">
        <f t="shared" ref="HP71" si="322">HP23+HP24</f>
        <v>7924.0375174885239</v>
      </c>
      <c r="HQ71" s="779">
        <f t="shared" si="11"/>
        <v>2.9582161439073205</v>
      </c>
      <c r="HR71" s="561">
        <f>HR23+HR24</f>
        <v>2690.6381189246199</v>
      </c>
      <c r="HS71" s="561">
        <f>HS23+HS24</f>
        <v>7202.1880297971502</v>
      </c>
      <c r="HT71" s="784">
        <f t="shared" si="12"/>
        <v>2.6767583418745597</v>
      </c>
      <c r="HV71" s="167" t="s">
        <v>592</v>
      </c>
      <c r="HW71" s="583">
        <f>HW23+HW24</f>
        <v>178.22548799999998</v>
      </c>
      <c r="HX71" s="561">
        <f>HX23+HX24</f>
        <v>749.39604499999996</v>
      </c>
      <c r="HY71" s="790">
        <f t="shared" si="13"/>
        <v>4.2047636026110924</v>
      </c>
      <c r="HZ71" s="561">
        <f>HZ23+HZ24</f>
        <v>2169.5936190000002</v>
      </c>
      <c r="IA71" s="561">
        <f>IA23+IA24</f>
        <v>6188.8562249999995</v>
      </c>
      <c r="IB71" s="790">
        <f t="shared" si="14"/>
        <v>2.8525416791429081</v>
      </c>
      <c r="IC71" s="583">
        <f>IC23+IC24</f>
        <v>242.86999196408846</v>
      </c>
      <c r="ID71" s="561">
        <f>ID23+ID24</f>
        <v>952.78033637384215</v>
      </c>
      <c r="IE71" s="790">
        <f t="shared" si="15"/>
        <v>3.9230055910518717</v>
      </c>
      <c r="IF71" s="561">
        <f>IF23+IF24</f>
        <v>2418.4073620814015</v>
      </c>
      <c r="IG71" s="561">
        <f>IG23+IG24</f>
        <v>6918.4190574458189</v>
      </c>
      <c r="IH71" s="790">
        <f t="shared" si="126"/>
        <v>2.8607335413879502</v>
      </c>
      <c r="II71" s="583">
        <f>II23+II24</f>
        <v>215.85127154460798</v>
      </c>
      <c r="IJ71" s="561">
        <f>IJ23+IJ24</f>
        <v>899.38713429132599</v>
      </c>
      <c r="IK71" s="790">
        <f t="shared" si="17"/>
        <v>4.1666983374960473</v>
      </c>
      <c r="IL71" s="561">
        <f>IL23+IL24</f>
        <v>2463.9459865808503</v>
      </c>
      <c r="IM71" s="561">
        <f>IM23+IM24</f>
        <v>6267.8367485213494</v>
      </c>
      <c r="IN71" s="779">
        <f t="shared" si="18"/>
        <v>2.5438206773432777</v>
      </c>
      <c r="IP71" s="167" t="s">
        <v>592</v>
      </c>
      <c r="IQ71" s="583">
        <f>IQ23+IQ24</f>
        <v>429.59751599999998</v>
      </c>
      <c r="IR71" s="561">
        <f t="shared" ref="IR71:JH71" si="323">IR23+IR24</f>
        <v>455.81543999999997</v>
      </c>
      <c r="IS71" s="561">
        <f t="shared" si="323"/>
        <v>622.56996000000004</v>
      </c>
      <c r="IT71" s="561">
        <f t="shared" si="323"/>
        <v>574.70376699999997</v>
      </c>
      <c r="IU71" s="561">
        <f t="shared" si="323"/>
        <v>282.00742100000002</v>
      </c>
      <c r="IV71" s="561">
        <f t="shared" si="323"/>
        <v>6990.785484</v>
      </c>
      <c r="IW71" s="703">
        <f t="shared" si="323"/>
        <v>511.62914158724709</v>
      </c>
      <c r="IX71" s="704">
        <f t="shared" si="323"/>
        <v>463.70193554960917</v>
      </c>
      <c r="IY71" s="704">
        <f t="shared" si="323"/>
        <v>772.84039622848877</v>
      </c>
      <c r="IZ71" s="704">
        <f t="shared" si="323"/>
        <v>598.88550935779585</v>
      </c>
      <c r="JA71" s="704">
        <f t="shared" si="323"/>
        <v>331.59702090965749</v>
      </c>
      <c r="JB71" s="173">
        <f t="shared" si="323"/>
        <v>7924.0375174885239</v>
      </c>
      <c r="JC71" s="703">
        <f t="shared" si="323"/>
        <v>557.62293673930799</v>
      </c>
      <c r="JD71" s="704">
        <f t="shared" si="323"/>
        <v>699.36186598221002</v>
      </c>
      <c r="JE71" s="704">
        <f t="shared" si="323"/>
        <v>821.11512917430298</v>
      </c>
      <c r="JF71" s="704">
        <f t="shared" si="323"/>
        <v>414.089684744453</v>
      </c>
      <c r="JG71" s="704">
        <f t="shared" si="323"/>
        <v>198.4485022843474</v>
      </c>
      <c r="JH71" s="173">
        <f t="shared" si="323"/>
        <v>7202.1880297971502</v>
      </c>
      <c r="JJ71" s="167" t="s">
        <v>592</v>
      </c>
      <c r="JK71" s="583">
        <f t="shared" ref="JK71:JV71" si="324">JK23+JK24</f>
        <v>177.80745999999999</v>
      </c>
      <c r="JL71" s="561">
        <f t="shared" si="324"/>
        <v>1007.554755</v>
      </c>
      <c r="JM71" s="561">
        <f t="shared" si="324"/>
        <v>1158.6894569999999</v>
      </c>
      <c r="JN71" s="562">
        <f t="shared" si="324"/>
        <v>20.642431999999999</v>
      </c>
      <c r="JO71" s="583">
        <f t="shared" si="324"/>
        <v>289.86850416930599</v>
      </c>
      <c r="JP71" s="561">
        <f t="shared" si="324"/>
        <v>924.67542111957346</v>
      </c>
      <c r="JQ71" s="561">
        <f t="shared" si="324"/>
        <v>1414.0737548817087</v>
      </c>
      <c r="JR71" s="562">
        <f t="shared" si="324"/>
        <v>50.036323462210149</v>
      </c>
      <c r="JS71" s="583">
        <f t="shared" si="324"/>
        <v>301.01059836779797</v>
      </c>
      <c r="JT71" s="561">
        <f t="shared" si="324"/>
        <v>952.46419938928602</v>
      </c>
      <c r="JU71" s="561">
        <f t="shared" si="324"/>
        <v>1381.3945134292039</v>
      </c>
      <c r="JV71" s="562">
        <f t="shared" si="324"/>
        <v>55.768807738331702</v>
      </c>
      <c r="JX71" s="167" t="s">
        <v>592</v>
      </c>
      <c r="JY71" s="583">
        <f t="shared" ref="JY71:KB71" si="325">JY23+JY24</f>
        <v>660.36092682442995</v>
      </c>
      <c r="JZ71" s="561">
        <f t="shared" si="325"/>
        <v>892.35867145113093</v>
      </c>
      <c r="KA71" s="561">
        <f t="shared" si="325"/>
        <v>487.57415974827597</v>
      </c>
      <c r="KB71" s="562">
        <f t="shared" si="325"/>
        <v>650.34436090078293</v>
      </c>
      <c r="KC71" s="604"/>
      <c r="KD71" s="167" t="s">
        <v>592</v>
      </c>
      <c r="KE71" s="583">
        <f t="shared" ref="KE71:KV71" si="326">KE23+KE24</f>
        <v>12.877612636906001</v>
      </c>
      <c r="KF71" s="561">
        <f t="shared" si="326"/>
        <v>31.1449620423518</v>
      </c>
      <c r="KG71" s="561">
        <f t="shared" si="326"/>
        <v>822.759636006091</v>
      </c>
      <c r="KH71" s="561">
        <f t="shared" si="326"/>
        <v>799.64666131035301</v>
      </c>
      <c r="KI71" s="561">
        <f t="shared" si="326"/>
        <v>428.53575025571593</v>
      </c>
      <c r="KJ71" s="562">
        <f t="shared" si="326"/>
        <v>368.08636578050391</v>
      </c>
      <c r="KK71" s="583">
        <f t="shared" si="326"/>
        <v>26.832102760264299</v>
      </c>
      <c r="KL71" s="561">
        <f t="shared" si="326"/>
        <v>116.75775621998621</v>
      </c>
      <c r="KM71" s="561">
        <f t="shared" si="326"/>
        <v>32.887254415709862</v>
      </c>
      <c r="KN71" s="561">
        <f t="shared" si="326"/>
        <v>15.4242655838544</v>
      </c>
      <c r="KO71" s="561">
        <f t="shared" si="326"/>
        <v>6.4626550891981598</v>
      </c>
      <c r="KP71" s="562">
        <f t="shared" si="326"/>
        <v>17.487237475595009</v>
      </c>
      <c r="KQ71" s="583">
        <f t="shared" si="326"/>
        <v>39.709715397170299</v>
      </c>
      <c r="KR71" s="561">
        <f t="shared" si="326"/>
        <v>147.90271826233788</v>
      </c>
      <c r="KS71" s="561">
        <f t="shared" si="326"/>
        <v>855.64689042179998</v>
      </c>
      <c r="KT71" s="561">
        <f t="shared" si="326"/>
        <v>821.09248567691202</v>
      </c>
      <c r="KU71" s="561">
        <f t="shared" si="326"/>
        <v>438.92270881244281</v>
      </c>
      <c r="KV71" s="562">
        <f t="shared" si="326"/>
        <v>386.46860180502898</v>
      </c>
      <c r="KW71" s="429"/>
      <c r="KX71" s="167" t="s">
        <v>592</v>
      </c>
      <c r="KY71" s="583">
        <f t="shared" ref="KY71:LA71" si="327">KY23+KY24</f>
        <v>775.37708099999998</v>
      </c>
      <c r="KZ71" s="561">
        <f t="shared" si="327"/>
        <v>1286.1848770000001</v>
      </c>
      <c r="LA71" s="562">
        <f t="shared" si="327"/>
        <v>303.13214500000004</v>
      </c>
      <c r="LB71" s="583">
        <f t="shared" ref="LB71:LD71" si="328">LB23+LB24</f>
        <v>995.71728188574855</v>
      </c>
      <c r="LC71" s="561">
        <f t="shared" si="328"/>
        <v>1383.4499599800329</v>
      </c>
      <c r="LD71" s="562">
        <f t="shared" si="328"/>
        <v>299.48676176701701</v>
      </c>
      <c r="LE71" s="583">
        <f t="shared" ref="LE71:LG71" si="329">LE23+LE24</f>
        <v>1002.1476525774438</v>
      </c>
      <c r="LF71" s="561">
        <f t="shared" si="329"/>
        <v>1424.3470471799692</v>
      </c>
      <c r="LG71" s="562">
        <f t="shared" si="329"/>
        <v>264.14341916720713</v>
      </c>
      <c r="LH71" s="426"/>
      <c r="LI71" s="167" t="s">
        <v>592</v>
      </c>
      <c r="LJ71" s="583">
        <f t="shared" ref="LJ71:MA71" si="330">LJ23+LJ24</f>
        <v>2280.9450230000002</v>
      </c>
      <c r="LK71" s="561">
        <f t="shared" si="330"/>
        <v>1948.3602289999999</v>
      </c>
      <c r="LL71" s="561">
        <f t="shared" si="330"/>
        <v>332.58479399999999</v>
      </c>
      <c r="LM71" s="561">
        <f t="shared" si="330"/>
        <v>528.25934900000004</v>
      </c>
      <c r="LN71" s="561">
        <f t="shared" si="330"/>
        <v>176.024123</v>
      </c>
      <c r="LO71" s="562">
        <f t="shared" si="330"/>
        <v>242.66527099999999</v>
      </c>
      <c r="LP71" s="583">
        <f t="shared" si="330"/>
        <v>2544.0736951772587</v>
      </c>
      <c r="LQ71" s="561">
        <f t="shared" si="330"/>
        <v>1916.986372398801</v>
      </c>
      <c r="LR71" s="561">
        <f t="shared" si="330"/>
        <v>627.08732277845775</v>
      </c>
      <c r="LS71" s="561">
        <f t="shared" si="330"/>
        <v>683.51236294293801</v>
      </c>
      <c r="LT71" s="561">
        <f t="shared" si="330"/>
        <v>139.75547685026947</v>
      </c>
      <c r="LU71" s="562">
        <f t="shared" si="330"/>
        <v>274.59977967526925</v>
      </c>
      <c r="LV71" s="583">
        <f t="shared" si="330"/>
        <v>2309.2698220910543</v>
      </c>
      <c r="LW71" s="561">
        <f t="shared" si="330"/>
        <v>1780.1846672494989</v>
      </c>
      <c r="LX71" s="561">
        <f t="shared" si="330"/>
        <v>529.08515484155703</v>
      </c>
      <c r="LY71" s="561">
        <f t="shared" si="330"/>
        <v>692.81890833850798</v>
      </c>
      <c r="LZ71" s="561">
        <f t="shared" si="330"/>
        <v>109.83248223507789</v>
      </c>
      <c r="MA71" s="562">
        <f t="shared" si="330"/>
        <v>264.60350043171701</v>
      </c>
      <c r="MC71" s="167" t="s">
        <v>592</v>
      </c>
      <c r="MD71" s="583">
        <f t="shared" ref="MD71:MU71" si="331">MD23+MD24</f>
        <v>0</v>
      </c>
      <c r="ME71" s="561">
        <f t="shared" si="331"/>
        <v>48.742056000000005</v>
      </c>
      <c r="MF71" s="561">
        <f t="shared" si="331"/>
        <v>196.34197499999999</v>
      </c>
      <c r="MG71" s="561">
        <f t="shared" si="331"/>
        <v>446.90199899999999</v>
      </c>
      <c r="MH71" s="561">
        <f t="shared" si="331"/>
        <v>829.26056600000004</v>
      </c>
      <c r="MI71" s="562">
        <f t="shared" si="331"/>
        <v>430.113629</v>
      </c>
      <c r="MJ71" s="583">
        <f t="shared" si="331"/>
        <v>0</v>
      </c>
      <c r="MK71" s="561">
        <f t="shared" si="331"/>
        <v>37.335419080255413</v>
      </c>
      <c r="ML71" s="561">
        <f t="shared" si="331"/>
        <v>229.20731877290461</v>
      </c>
      <c r="MM71" s="561">
        <f t="shared" si="331"/>
        <v>472.87775971982182</v>
      </c>
      <c r="MN71" s="561">
        <f t="shared" si="331"/>
        <v>728.57195353700217</v>
      </c>
      <c r="MO71" s="562">
        <f t="shared" si="331"/>
        <v>447.99392207032975</v>
      </c>
      <c r="MP71" s="583">
        <f t="shared" si="331"/>
        <v>3.0371151438572399</v>
      </c>
      <c r="MQ71" s="561">
        <f t="shared" si="331"/>
        <v>32.695391072945732</v>
      </c>
      <c r="MR71" s="561">
        <f t="shared" si="331"/>
        <v>229.850310614808</v>
      </c>
      <c r="MS71" s="561">
        <f t="shared" si="331"/>
        <v>497.06851037681497</v>
      </c>
      <c r="MT71" s="561">
        <f t="shared" si="331"/>
        <v>568.23926577961402</v>
      </c>
      <c r="MU71" s="562">
        <f t="shared" si="331"/>
        <v>447.29407223068699</v>
      </c>
      <c r="MW71" s="167" t="s">
        <v>592</v>
      </c>
      <c r="MX71" s="583">
        <f t="shared" ref="MX71:NF71" si="332">MX23+MX24</f>
        <v>1948.3602289999999</v>
      </c>
      <c r="MY71" s="561">
        <f t="shared" si="332"/>
        <v>1872.4734559999999</v>
      </c>
      <c r="MZ71" s="561">
        <f t="shared" si="332"/>
        <v>75.886771999999993</v>
      </c>
      <c r="NA71" s="583">
        <f t="shared" si="332"/>
        <v>1938.2617887154247</v>
      </c>
      <c r="NB71" s="561">
        <f t="shared" si="332"/>
        <v>1845.4899591622743</v>
      </c>
      <c r="NC71" s="562">
        <f t="shared" si="332"/>
        <v>92.771829553150155</v>
      </c>
      <c r="ND71" s="583">
        <f t="shared" si="332"/>
        <v>1797.8570567321501</v>
      </c>
      <c r="NE71" s="561">
        <f t="shared" si="332"/>
        <v>1687.0053324033979</v>
      </c>
      <c r="NF71" s="562">
        <f t="shared" si="332"/>
        <v>110.8517243287551</v>
      </c>
      <c r="NH71" s="167" t="s">
        <v>592</v>
      </c>
      <c r="NI71" s="583">
        <f t="shared" ref="NI71:NR71" si="333">NI23+NI24</f>
        <v>1369.5575492641658</v>
      </c>
      <c r="NJ71" s="562">
        <f t="shared" si="333"/>
        <v>475.93240989810863</v>
      </c>
      <c r="NK71" s="583">
        <f t="shared" si="333"/>
        <v>59.406820641218637</v>
      </c>
      <c r="NL71" s="561">
        <f t="shared" si="333"/>
        <v>33.365008911931525</v>
      </c>
      <c r="NM71" s="562">
        <f t="shared" si="333"/>
        <v>0</v>
      </c>
      <c r="NN71" s="583">
        <f t="shared" si="333"/>
        <v>1200.926444778999</v>
      </c>
      <c r="NO71" s="562">
        <f t="shared" si="333"/>
        <v>486.07888762439427</v>
      </c>
      <c r="NP71" s="583">
        <f t="shared" si="333"/>
        <v>92.875358433556897</v>
      </c>
      <c r="NQ71" s="561">
        <f t="shared" si="333"/>
        <v>17.97636589519816</v>
      </c>
      <c r="NR71" s="562">
        <f t="shared" si="333"/>
        <v>0</v>
      </c>
      <c r="NS71" s="136"/>
      <c r="NT71" s="167" t="s">
        <v>592</v>
      </c>
      <c r="NU71" s="583">
        <f t="shared" ref="NU71:OB71" si="334">NU23+NU24</f>
        <v>260.24172716834573</v>
      </c>
      <c r="NV71" s="561">
        <f t="shared" si="334"/>
        <v>57.637455340684433</v>
      </c>
      <c r="NW71" s="561">
        <f t="shared" si="334"/>
        <v>26.389419086248608</v>
      </c>
      <c r="NX71" s="562">
        <f t="shared" si="334"/>
        <v>131.66380830282986</v>
      </c>
      <c r="NY71" s="583">
        <f t="shared" si="334"/>
        <v>263.81138813760299</v>
      </c>
      <c r="NZ71" s="561">
        <f t="shared" si="334"/>
        <v>67.999932154032606</v>
      </c>
      <c r="OA71" s="561">
        <f t="shared" si="334"/>
        <v>28.99533271898099</v>
      </c>
      <c r="OB71" s="562">
        <f t="shared" si="334"/>
        <v>125.2722346137777</v>
      </c>
      <c r="OC71" s="553"/>
      <c r="OD71" s="167" t="s">
        <v>592</v>
      </c>
      <c r="OE71" s="583">
        <f t="shared" ref="OE71:OR71" si="335">OE23+OE24</f>
        <v>175.6950324249662</v>
      </c>
      <c r="OF71" s="561">
        <f t="shared" si="335"/>
        <v>260.48089000654301</v>
      </c>
      <c r="OG71" s="561">
        <f t="shared" si="335"/>
        <v>203.57603425238239</v>
      </c>
      <c r="OH71" s="561">
        <f t="shared" si="335"/>
        <v>151.20804129988318</v>
      </c>
      <c r="OI71" s="561">
        <f t="shared" si="335"/>
        <v>739.28561657108594</v>
      </c>
      <c r="OJ71" s="561">
        <f t="shared" si="335"/>
        <v>79.492356914493399</v>
      </c>
      <c r="OK71" s="562">
        <f t="shared" si="335"/>
        <v>71.807793146404407</v>
      </c>
      <c r="OL71" s="583">
        <f t="shared" si="335"/>
        <v>234.61828371560347</v>
      </c>
      <c r="OM71" s="561">
        <f t="shared" si="335"/>
        <v>260.48089000654301</v>
      </c>
      <c r="ON71" s="561">
        <f t="shared" si="335"/>
        <v>216.96152334339899</v>
      </c>
      <c r="OO71" s="561">
        <f t="shared" si="335"/>
        <v>158.51540618269462</v>
      </c>
      <c r="OP71" s="561">
        <f t="shared" si="335"/>
        <v>968.61013503646495</v>
      </c>
      <c r="OQ71" s="561">
        <f t="shared" si="335"/>
        <v>378.292124410719</v>
      </c>
      <c r="OR71" s="562">
        <f t="shared" si="335"/>
        <v>2418.334111061271</v>
      </c>
      <c r="OT71" s="167" t="s">
        <v>592</v>
      </c>
      <c r="OU71" s="583">
        <f t="shared" ref="OU71:PF71" si="336">OU23+OU24</f>
        <v>1099.9190230000002</v>
      </c>
      <c r="OV71" s="561">
        <f t="shared" si="336"/>
        <v>725.68637899999999</v>
      </c>
      <c r="OW71" s="561">
        <f t="shared" si="336"/>
        <v>492.43213700000001</v>
      </c>
      <c r="OX71" s="562">
        <f t="shared" si="336"/>
        <v>687.1018509999999</v>
      </c>
      <c r="OY71" s="583">
        <f t="shared" si="336"/>
        <v>1103.6496844138087</v>
      </c>
      <c r="OZ71" s="561">
        <f t="shared" si="336"/>
        <v>732.04606283308772</v>
      </c>
      <c r="PA71" s="561">
        <f t="shared" si="336"/>
        <v>582.28994928428847</v>
      </c>
      <c r="PB71" s="562">
        <f t="shared" si="336"/>
        <v>765.99352354976122</v>
      </c>
      <c r="PC71" s="583">
        <f t="shared" si="336"/>
        <v>747.83812866618428</v>
      </c>
      <c r="PD71" s="561">
        <f t="shared" si="336"/>
        <v>647.28372002441597</v>
      </c>
      <c r="PE71" s="561">
        <f t="shared" si="336"/>
        <v>559.86529347568501</v>
      </c>
      <c r="PF71" s="562">
        <f t="shared" si="336"/>
        <v>926.97082659299849</v>
      </c>
      <c r="PH71" s="167" t="s">
        <v>592</v>
      </c>
      <c r="PI71" s="583">
        <f t="shared" ref="PI71:PP71" si="337">PI23+PI24</f>
        <v>307.19326807252526</v>
      </c>
      <c r="PJ71" s="561">
        <f t="shared" si="337"/>
        <v>358.097031346432</v>
      </c>
      <c r="PK71" s="561">
        <f t="shared" si="337"/>
        <v>232.8066575558282</v>
      </c>
      <c r="PL71" s="562">
        <f t="shared" si="337"/>
        <v>411.12974119832438</v>
      </c>
      <c r="PM71" s="583">
        <f t="shared" si="337"/>
        <v>440.6448605936589</v>
      </c>
      <c r="PN71" s="561">
        <f t="shared" si="337"/>
        <v>289.18668867798397</v>
      </c>
      <c r="PO71" s="561">
        <f t="shared" si="337"/>
        <v>327.05863591985599</v>
      </c>
      <c r="PP71" s="562">
        <f t="shared" si="337"/>
        <v>515.84108539467331</v>
      </c>
      <c r="PQ71" s="65"/>
      <c r="PR71" s="169" t="s">
        <v>592</v>
      </c>
      <c r="PS71" s="1038">
        <f t="shared" ref="PS71:PW71" si="338">PS23+PS24</f>
        <v>39.689667120523602</v>
      </c>
      <c r="PT71" s="1039">
        <f t="shared" si="338"/>
        <v>287.69904155828397</v>
      </c>
      <c r="PU71" s="1039">
        <f t="shared" si="338"/>
        <v>160.3520796586813</v>
      </c>
      <c r="PV71" s="1039">
        <f t="shared" si="338"/>
        <v>27.716513218328299</v>
      </c>
      <c r="PW71" s="1039">
        <f t="shared" si="338"/>
        <v>919.677989890253</v>
      </c>
      <c r="PX71" s="1040">
        <f t="shared" ref="PX71" si="339">PX23+PX24</f>
        <v>360.721763255307</v>
      </c>
      <c r="PZ71" s="169" t="s">
        <v>592</v>
      </c>
      <c r="QA71" s="1038">
        <f t="shared" ref="QA71:QF71" si="340">QA23+QA24</f>
        <v>1248.2570588299759</v>
      </c>
      <c r="QB71" s="1039">
        <f t="shared" si="340"/>
        <v>549.59999790217194</v>
      </c>
      <c r="QC71" s="1039">
        <f t="shared" si="340"/>
        <v>469.87313519342501</v>
      </c>
      <c r="QD71" s="1039">
        <f t="shared" ref="QD71" si="341">QD23+QD24</f>
        <v>25.285498936772001</v>
      </c>
      <c r="QE71" s="1039">
        <f t="shared" si="340"/>
        <v>54.441363771974906</v>
      </c>
      <c r="QF71" s="1040">
        <f t="shared" si="340"/>
        <v>0</v>
      </c>
    </row>
    <row r="72" spans="1:448" ht="13.5" customHeight="1">
      <c r="A72" s="136"/>
      <c r="B72" s="167" t="s">
        <v>593</v>
      </c>
      <c r="C72" s="561">
        <f t="shared" ref="C72" si="342">C25+C26</f>
        <v>5167.6953480000002</v>
      </c>
      <c r="D72" s="561">
        <f t="shared" ref="D72:E72" si="343">D25+D26</f>
        <v>5047.6921532910401</v>
      </c>
      <c r="E72" s="562">
        <f t="shared" si="343"/>
        <v>5420.3535811751799</v>
      </c>
      <c r="F72" s="136"/>
      <c r="G72" s="167" t="s">
        <v>593</v>
      </c>
      <c r="H72" s="318">
        <f t="shared" si="5"/>
        <v>-4.6881114524482959E-3</v>
      </c>
      <c r="I72" s="668">
        <f t="shared" si="6"/>
        <v>1.434793963286829E-2</v>
      </c>
      <c r="J72" s="612"/>
      <c r="K72" s="63"/>
      <c r="L72" s="167" t="s">
        <v>593</v>
      </c>
      <c r="M72" s="583">
        <f t="shared" ref="M72:T72" si="344">M25+M26</f>
        <v>57</v>
      </c>
      <c r="N72" s="561">
        <f t="shared" si="344"/>
        <v>62</v>
      </c>
      <c r="O72" s="561">
        <f t="shared" si="344"/>
        <v>58</v>
      </c>
      <c r="P72" s="561">
        <f t="shared" si="344"/>
        <v>47</v>
      </c>
      <c r="Q72" s="561">
        <f t="shared" si="344"/>
        <v>57</v>
      </c>
      <c r="R72" s="561">
        <f t="shared" si="344"/>
        <v>51</v>
      </c>
      <c r="S72" s="561">
        <f t="shared" si="344"/>
        <v>61</v>
      </c>
      <c r="T72" s="561">
        <f t="shared" si="344"/>
        <v>60</v>
      </c>
      <c r="U72" s="561">
        <f t="shared" ref="U72:V72" si="345">U25+U26</f>
        <v>55</v>
      </c>
      <c r="V72" s="561">
        <f t="shared" si="345"/>
        <v>59</v>
      </c>
      <c r="W72" s="562">
        <f t="shared" ref="W72" si="346">W25+W26</f>
        <v>51</v>
      </c>
      <c r="X72" s="167" t="s">
        <v>593</v>
      </c>
      <c r="Y72" s="583">
        <f t="shared" ref="Y72:AB72" si="347">Y25+Y26</f>
        <v>59.5</v>
      </c>
      <c r="Z72" s="561">
        <f t="shared" si="347"/>
        <v>52.5</v>
      </c>
      <c r="AA72" s="561">
        <f t="shared" si="347"/>
        <v>54</v>
      </c>
      <c r="AB72" s="561">
        <f t="shared" si="347"/>
        <v>60.5</v>
      </c>
      <c r="AC72" s="1206">
        <f t="shared" ref="AC72" si="348">AC25+AC26</f>
        <v>60.5</v>
      </c>
      <c r="AD72" s="336">
        <f t="shared" si="98"/>
        <v>-0.11764705882352941</v>
      </c>
      <c r="AE72" s="336">
        <f t="shared" si="99"/>
        <v>2.8571428571428571E-2</v>
      </c>
      <c r="AF72" s="336">
        <f t="shared" si="100"/>
        <v>0.12037037037037036</v>
      </c>
      <c r="AG72" s="1217">
        <f t="shared" si="101"/>
        <v>0</v>
      </c>
      <c r="AN72" s="167" t="s">
        <v>593</v>
      </c>
      <c r="AO72" s="583">
        <f t="shared" ref="AO72:AV72" si="349">AO25+AO26</f>
        <v>1.998891</v>
      </c>
      <c r="AP72" s="561">
        <f t="shared" si="349"/>
        <v>91.748661999999996</v>
      </c>
      <c r="AQ72" s="561">
        <f t="shared" si="349"/>
        <v>670.96412299999997</v>
      </c>
      <c r="AR72" s="561">
        <f t="shared" si="349"/>
        <v>869.00258600000006</v>
      </c>
      <c r="AS72" s="561">
        <f t="shared" si="349"/>
        <v>693.23835199999996</v>
      </c>
      <c r="AT72" s="561">
        <f t="shared" si="349"/>
        <v>251.81106399999999</v>
      </c>
      <c r="AU72" s="561">
        <f t="shared" si="349"/>
        <v>967.78476799999999</v>
      </c>
      <c r="AV72" s="562">
        <f t="shared" si="349"/>
        <v>822.65664200000003</v>
      </c>
      <c r="AW72" s="583">
        <f t="shared" ref="AW72:BD72" si="350">AW25+AW26</f>
        <v>0</v>
      </c>
      <c r="AX72" s="561">
        <f t="shared" si="350"/>
        <v>111.63413180880104</v>
      </c>
      <c r="AY72" s="561">
        <f t="shared" si="350"/>
        <v>812.59364586296351</v>
      </c>
      <c r="AZ72" s="561">
        <f t="shared" si="350"/>
        <v>763.37735606276215</v>
      </c>
      <c r="BA72" s="561">
        <f t="shared" si="350"/>
        <v>487.92501225728682</v>
      </c>
      <c r="BB72" s="561">
        <f t="shared" si="350"/>
        <v>213.42860652945052</v>
      </c>
      <c r="BC72" s="561">
        <f t="shared" si="350"/>
        <v>1036.212495598807</v>
      </c>
      <c r="BD72" s="562">
        <f t="shared" si="350"/>
        <v>1026.6579624573744</v>
      </c>
      <c r="BE72" s="583">
        <f t="shared" ref="BE72:BL72" si="351">BE25+BE26</f>
        <v>7.1339949344363394</v>
      </c>
      <c r="BF72" s="561">
        <f t="shared" si="351"/>
        <v>131.56943476333771</v>
      </c>
      <c r="BG72" s="561">
        <f t="shared" si="351"/>
        <v>933.03189928777397</v>
      </c>
      <c r="BH72" s="561">
        <f t="shared" si="351"/>
        <v>869.63447307110698</v>
      </c>
      <c r="BI72" s="561">
        <f t="shared" si="351"/>
        <v>620.74358807756107</v>
      </c>
      <c r="BJ72" s="561">
        <f t="shared" si="351"/>
        <v>271.77734591833791</v>
      </c>
      <c r="BK72" s="561">
        <f t="shared" si="351"/>
        <v>946.77286609389103</v>
      </c>
      <c r="BL72" s="562">
        <f t="shared" si="351"/>
        <v>789.43338592050304</v>
      </c>
      <c r="BN72" s="167" t="s">
        <v>593</v>
      </c>
      <c r="BO72" s="583">
        <f t="shared" ref="BO72:BT72" si="352">BO25+BO26</f>
        <v>802.49025299999994</v>
      </c>
      <c r="BP72" s="561">
        <f t="shared" si="352"/>
        <v>1484.512986</v>
      </c>
      <c r="BQ72" s="561">
        <f t="shared" si="352"/>
        <v>1042.5403879999999</v>
      </c>
      <c r="BR72" s="561">
        <f t="shared" si="352"/>
        <v>782.81575999999995</v>
      </c>
      <c r="BS72" s="561">
        <f t="shared" si="352"/>
        <v>615.60049600000002</v>
      </c>
      <c r="BT72" s="562">
        <f t="shared" si="352"/>
        <v>439.73546299999998</v>
      </c>
      <c r="BU72" s="583">
        <f t="shared" ref="BU72:BZ72" si="353">BU25+BU26</f>
        <v>596.86294193208175</v>
      </c>
      <c r="BV72" s="561">
        <f t="shared" si="353"/>
        <v>1620.8146968500714</v>
      </c>
      <c r="BW72" s="561">
        <f t="shared" si="353"/>
        <v>800.40642508979886</v>
      </c>
      <c r="BX72" s="561">
        <f t="shared" si="353"/>
        <v>815.4859234821572</v>
      </c>
      <c r="BY72" s="561">
        <f t="shared" si="353"/>
        <v>674.71690897495296</v>
      </c>
      <c r="BZ72" s="562">
        <f t="shared" si="353"/>
        <v>539.40525696197801</v>
      </c>
      <c r="CA72" s="583">
        <f t="shared" ref="CA72:CF72" si="354">CA25+CA26</f>
        <v>850.256593108228</v>
      </c>
      <c r="CB72" s="561">
        <f t="shared" si="354"/>
        <v>1472.2355485046742</v>
      </c>
      <c r="CC72" s="561">
        <f t="shared" si="354"/>
        <v>1087.130311721872</v>
      </c>
      <c r="CD72" s="561">
        <f t="shared" si="354"/>
        <v>848.30112666285595</v>
      </c>
      <c r="CE72" s="561">
        <f t="shared" si="354"/>
        <v>770.93254167007001</v>
      </c>
      <c r="CF72" s="562">
        <f t="shared" si="354"/>
        <v>391.49745950747598</v>
      </c>
      <c r="CG72" s="429"/>
      <c r="CH72" s="167" t="s">
        <v>593</v>
      </c>
      <c r="CI72" s="583">
        <f t="shared" ref="CI72:CK72" si="355">CI25+CI26</f>
        <v>1138.6667199999999</v>
      </c>
      <c r="CJ72" s="561">
        <f t="shared" si="355"/>
        <v>3208.4859510000001</v>
      </c>
      <c r="CK72" s="561">
        <f t="shared" si="355"/>
        <v>820.54267600000003</v>
      </c>
      <c r="CL72" s="583">
        <f t="shared" ref="CL72:CN72" si="356">CL25+CL26</f>
        <v>1065.4400328750721</v>
      </c>
      <c r="CM72" s="561">
        <f t="shared" si="356"/>
        <v>3078.5387188811251</v>
      </c>
      <c r="CN72" s="561">
        <f t="shared" si="356"/>
        <v>903.71340153484266</v>
      </c>
      <c r="CO72" s="583">
        <f t="shared" ref="CO72:CQ72" si="357">CO25+CO26</f>
        <v>1293.4207449335131</v>
      </c>
      <c r="CP72" s="561">
        <f t="shared" si="357"/>
        <v>3251.4692940940504</v>
      </c>
      <c r="CQ72" s="562">
        <f t="shared" si="357"/>
        <v>875.46354214762096</v>
      </c>
      <c r="CR72" s="429"/>
      <c r="DG72" s="167" t="s">
        <v>593</v>
      </c>
      <c r="DH72" s="829"/>
      <c r="DI72" s="830"/>
      <c r="DJ72" s="830"/>
      <c r="DK72" s="830"/>
      <c r="DL72" s="830"/>
      <c r="DM72" s="831"/>
      <c r="DO72" s="167" t="s">
        <v>593</v>
      </c>
      <c r="DP72" s="704">
        <f t="shared" ref="DP72:DR72" si="358">DP25+DP26</f>
        <v>2891.0394690000003</v>
      </c>
      <c r="DQ72" s="561">
        <f t="shared" si="358"/>
        <v>2825.0473158766686</v>
      </c>
      <c r="DR72" s="562">
        <f t="shared" si="358"/>
        <v>3008.3356488907602</v>
      </c>
      <c r="DS72" s="63"/>
      <c r="DT72" s="167" t="s">
        <v>593</v>
      </c>
      <c r="DU72" s="583">
        <f t="shared" ref="DU72:DW72" si="359">DU25+DU26</f>
        <v>5127.6953960000001</v>
      </c>
      <c r="DV72" s="561">
        <f t="shared" si="359"/>
        <v>5016.6921775179344</v>
      </c>
      <c r="DW72" s="562">
        <f t="shared" si="359"/>
        <v>5420.3535811751799</v>
      </c>
      <c r="DX72" s="63"/>
      <c r="DY72" s="167" t="s">
        <v>593</v>
      </c>
      <c r="DZ72" s="1092">
        <f t="shared" si="32"/>
        <v>1.7736511213296062</v>
      </c>
      <c r="EA72" s="790">
        <f t="shared" si="33"/>
        <v>1.7757904971447016</v>
      </c>
      <c r="EB72" s="779">
        <f t="shared" si="34"/>
        <v>1.8017781969155549</v>
      </c>
      <c r="ED72" s="541"/>
      <c r="EE72" s="167" t="s">
        <v>593</v>
      </c>
      <c r="EF72" s="583">
        <f t="shared" ref="EF72:EJ72" si="360">EF25+EF26</f>
        <v>1552.443749</v>
      </c>
      <c r="EG72" s="561">
        <f t="shared" si="360"/>
        <v>119.789805</v>
      </c>
      <c r="EH72" s="561">
        <f t="shared" si="360"/>
        <v>617.29284099999995</v>
      </c>
      <c r="EI72" s="561">
        <f t="shared" si="360"/>
        <v>408.59122200000002</v>
      </c>
      <c r="EJ72" s="561">
        <f t="shared" si="360"/>
        <v>192.921852</v>
      </c>
      <c r="EK72" s="583">
        <f t="shared" ref="EK72:EO72" si="361">EK25+EK26</f>
        <v>1482.846424367719</v>
      </c>
      <c r="EL72" s="561">
        <f t="shared" si="361"/>
        <v>136.60447432212925</v>
      </c>
      <c r="EM72" s="561">
        <f t="shared" si="361"/>
        <v>643.93321977750747</v>
      </c>
      <c r="EN72" s="561">
        <f t="shared" si="361"/>
        <v>394.4811771958224</v>
      </c>
      <c r="EO72" s="561">
        <f t="shared" si="361"/>
        <v>167.1820202134906</v>
      </c>
      <c r="EP72" s="583">
        <f t="shared" ref="EP72:ET72" si="362">EP25+EP26</f>
        <v>1644.640791367623</v>
      </c>
      <c r="EQ72" s="561">
        <f t="shared" si="362"/>
        <v>78.787495804976501</v>
      </c>
      <c r="ER72" s="561">
        <f t="shared" si="362"/>
        <v>609.90510886722495</v>
      </c>
      <c r="ES72" s="561">
        <f t="shared" si="362"/>
        <v>465.997624653657</v>
      </c>
      <c r="ET72" s="562">
        <f t="shared" si="362"/>
        <v>209.00462819728131</v>
      </c>
      <c r="EV72" s="167" t="s">
        <v>593</v>
      </c>
      <c r="EW72" s="583">
        <f t="shared" ref="EW72:FD72" si="363">EW25+EW26</f>
        <v>482.120678</v>
      </c>
      <c r="EX72" s="561">
        <f t="shared" si="363"/>
        <v>593.75739999999996</v>
      </c>
      <c r="EY72" s="561">
        <f t="shared" si="363"/>
        <v>348.76914799999997</v>
      </c>
      <c r="EZ72" s="561">
        <f t="shared" si="363"/>
        <v>127.79652299999999</v>
      </c>
      <c r="FA72" s="583">
        <f t="shared" si="363"/>
        <v>1035.5967479999999</v>
      </c>
      <c r="FB72" s="561">
        <f t="shared" si="363"/>
        <v>1981.392981</v>
      </c>
      <c r="FC72" s="561">
        <f t="shared" si="363"/>
        <v>1074.263921</v>
      </c>
      <c r="FD72" s="561">
        <f t="shared" si="363"/>
        <v>233.951494</v>
      </c>
      <c r="FE72" s="583">
        <f t="shared" ref="FE72:FL72" si="364">FE25+FE26</f>
        <v>493.18169332211812</v>
      </c>
      <c r="FF72" s="561">
        <f t="shared" si="364"/>
        <v>502.57485750202602</v>
      </c>
      <c r="FG72" s="561">
        <f t="shared" si="364"/>
        <v>335.19495075436635</v>
      </c>
      <c r="FH72" s="562">
        <f t="shared" si="364"/>
        <v>151.89492278920852</v>
      </c>
      <c r="FI72" s="583">
        <f t="shared" si="364"/>
        <v>1141.5550610905971</v>
      </c>
      <c r="FJ72" s="561">
        <f t="shared" si="364"/>
        <v>1793.5682774284996</v>
      </c>
      <c r="FK72" s="561">
        <f t="shared" si="364"/>
        <v>1145.9814188823491</v>
      </c>
      <c r="FL72" s="562">
        <f t="shared" si="364"/>
        <v>338.72447818440696</v>
      </c>
      <c r="FM72" s="703">
        <f t="shared" ref="FM72:FT72" si="365">FM25+FM26</f>
        <v>450.47494307808904</v>
      </c>
      <c r="FN72" s="704">
        <f t="shared" si="365"/>
        <v>615.46656296707499</v>
      </c>
      <c r="FO72" s="704">
        <f t="shared" si="365"/>
        <v>448.172605675498</v>
      </c>
      <c r="FP72" s="173">
        <f t="shared" si="365"/>
        <v>130.52667964696059</v>
      </c>
      <c r="FQ72" s="703">
        <f t="shared" si="365"/>
        <v>975.64423151923802</v>
      </c>
      <c r="FR72" s="704">
        <f t="shared" si="365"/>
        <v>2182.9058977553</v>
      </c>
      <c r="FS72" s="704">
        <f t="shared" si="365"/>
        <v>1124.187649508028</v>
      </c>
      <c r="FT72" s="173">
        <f t="shared" si="365"/>
        <v>287.35920928438799</v>
      </c>
      <c r="FV72" s="167" t="s">
        <v>593</v>
      </c>
      <c r="FW72" s="583">
        <f t="shared" ref="FW72:GH72" si="366">FW25+FW26</f>
        <v>665.35411799999997</v>
      </c>
      <c r="FX72" s="561">
        <f t="shared" si="366"/>
        <v>255.17796199999998</v>
      </c>
      <c r="FY72" s="561">
        <f t="shared" si="366"/>
        <v>198.47138200000001</v>
      </c>
      <c r="FZ72" s="562">
        <f t="shared" si="366"/>
        <v>104.278699</v>
      </c>
      <c r="GA72" s="583">
        <f t="shared" si="366"/>
        <v>668.93500491120665</v>
      </c>
      <c r="GB72" s="561">
        <f t="shared" si="366"/>
        <v>242.63225843265715</v>
      </c>
      <c r="GC72" s="561">
        <f t="shared" si="366"/>
        <v>204.59610242521495</v>
      </c>
      <c r="GD72" s="562">
        <f t="shared" si="366"/>
        <v>89.433051417741709</v>
      </c>
      <c r="GE72" s="583">
        <f t="shared" si="366"/>
        <v>648.60198736985797</v>
      </c>
      <c r="GF72" s="561">
        <f t="shared" si="366"/>
        <v>291.65047361495198</v>
      </c>
      <c r="GG72" s="561">
        <f t="shared" si="366"/>
        <v>216.785972428262</v>
      </c>
      <c r="GH72" s="562">
        <f t="shared" si="366"/>
        <v>128.92876883511133</v>
      </c>
      <c r="GJ72" s="167" t="s">
        <v>593</v>
      </c>
      <c r="GK72" s="561">
        <f t="shared" ref="GK72:GM72" si="367">GK25+GK26</f>
        <v>3210.9964730000002</v>
      </c>
      <c r="GL72" s="561">
        <f t="shared" si="367"/>
        <v>3322.4977921878299</v>
      </c>
      <c r="GM72" s="562">
        <f t="shared" si="367"/>
        <v>3575.50305461585</v>
      </c>
      <c r="GO72" s="167" t="s">
        <v>593</v>
      </c>
      <c r="GP72" s="583">
        <f t="shared" ref="GP72:GX72" si="368">GP25+GP26</f>
        <v>2891.0394690000003</v>
      </c>
      <c r="GQ72" s="561">
        <f t="shared" si="368"/>
        <v>58.008488</v>
      </c>
      <c r="GR72" s="562">
        <f t="shared" si="368"/>
        <v>261.94851600000004</v>
      </c>
      <c r="GS72" s="583">
        <f t="shared" si="368"/>
        <v>2825.0473158766686</v>
      </c>
      <c r="GT72" s="561">
        <f t="shared" si="368"/>
        <v>99.52025120402179</v>
      </c>
      <c r="GU72" s="562">
        <f t="shared" si="368"/>
        <v>397.93022510714002</v>
      </c>
      <c r="GV72" s="583">
        <f t="shared" si="368"/>
        <v>3008.3356488907602</v>
      </c>
      <c r="GW72" s="561">
        <f t="shared" si="368"/>
        <v>174.09292463902261</v>
      </c>
      <c r="GX72" s="562">
        <f t="shared" si="368"/>
        <v>393.07448108606098</v>
      </c>
      <c r="GZ72" s="167" t="s">
        <v>593</v>
      </c>
      <c r="HA72" s="583">
        <f t="shared" ref="HA72:HI72" si="369">HA25+HA26</f>
        <v>1190.3936880000001</v>
      </c>
      <c r="HB72" s="561">
        <f t="shared" si="369"/>
        <v>2005.458961</v>
      </c>
      <c r="HC72" s="562">
        <f t="shared" si="369"/>
        <v>15.143823999999995</v>
      </c>
      <c r="HD72" s="583">
        <f t="shared" si="369"/>
        <v>1169.500483863593</v>
      </c>
      <c r="HE72" s="561">
        <f t="shared" si="369"/>
        <v>2136.2346977066663</v>
      </c>
      <c r="HF72" s="562">
        <f t="shared" si="369"/>
        <v>16.762610617570772</v>
      </c>
      <c r="HG72" s="583">
        <f t="shared" si="369"/>
        <v>1122.2452156112731</v>
      </c>
      <c r="HH72" s="561">
        <f t="shared" si="369"/>
        <v>2442.1731391548301</v>
      </c>
      <c r="HI72" s="562">
        <f t="shared" si="369"/>
        <v>11.084699849747039</v>
      </c>
      <c r="HK72" s="167" t="s">
        <v>593</v>
      </c>
      <c r="HL72" s="561">
        <f t="shared" ref="HL72:HO72" si="370">HL25+HL26</f>
        <v>2891.0394690000003</v>
      </c>
      <c r="HM72" s="561">
        <f t="shared" ref="HM72" si="371">HM25+HM26</f>
        <v>9908.6596989999998</v>
      </c>
      <c r="HN72" s="779">
        <f t="shared" si="10"/>
        <v>3.4273692231629642</v>
      </c>
      <c r="HO72" s="583">
        <f t="shared" si="370"/>
        <v>2825.0473158766686</v>
      </c>
      <c r="HP72" s="561">
        <f t="shared" ref="HP72" si="372">HP25+HP26</f>
        <v>9729.8317649178953</v>
      </c>
      <c r="HQ72" s="779">
        <f t="shared" si="11"/>
        <v>3.4441305496855135</v>
      </c>
      <c r="HR72" s="561">
        <f>HR25+HR26</f>
        <v>3008.3356488907602</v>
      </c>
      <c r="HS72" s="561">
        <f>HS25+HS26</f>
        <v>10191.03608657672</v>
      </c>
      <c r="HT72" s="784">
        <f t="shared" si="12"/>
        <v>3.3875994157548144</v>
      </c>
      <c r="HV72" s="167" t="s">
        <v>593</v>
      </c>
      <c r="HW72" s="583">
        <f>HW25+HW26</f>
        <v>1099.0778519999999</v>
      </c>
      <c r="HX72" s="561">
        <f>HX25+HX26</f>
        <v>5741.7062799999994</v>
      </c>
      <c r="HY72" s="790">
        <f t="shared" si="13"/>
        <v>5.2241124407627497</v>
      </c>
      <c r="HZ72" s="561">
        <f>HZ25+HZ26</f>
        <v>1788.470325</v>
      </c>
      <c r="IA72" s="561">
        <f>IA25+IA26</f>
        <v>4163.4621269999998</v>
      </c>
      <c r="IB72" s="790">
        <f t="shared" si="14"/>
        <v>2.3279458813497507</v>
      </c>
      <c r="IC72" s="583">
        <f>IC25+IC26</f>
        <v>1012.0524498358587</v>
      </c>
      <c r="ID72" s="561">
        <f>ID25+ID26</f>
        <v>5179.4474186302041</v>
      </c>
      <c r="IE72" s="790">
        <f t="shared" si="15"/>
        <v>5.1177658030176607</v>
      </c>
      <c r="IF72" s="561">
        <f>IF25+IF26</f>
        <v>1799.5508217473623</v>
      </c>
      <c r="IG72" s="561">
        <f>IG25+IG26</f>
        <v>4536.9403019942438</v>
      </c>
      <c r="IH72" s="790">
        <f t="shared" si="126"/>
        <v>2.521151526906519</v>
      </c>
      <c r="II72" s="583">
        <f>II25+II26</f>
        <v>1005.434993535963</v>
      </c>
      <c r="IJ72" s="561">
        <f>IJ25+IJ26</f>
        <v>5249.62203861741</v>
      </c>
      <c r="IK72" s="790">
        <f t="shared" si="17"/>
        <v>5.221244607923663</v>
      </c>
      <c r="IL72" s="561">
        <f>IL25+IL26</f>
        <v>1995.412446761133</v>
      </c>
      <c r="IM72" s="561">
        <f>IM25+IM26</f>
        <v>4933.9258393656301</v>
      </c>
      <c r="IN72" s="779">
        <f t="shared" si="18"/>
        <v>2.4726345910962744</v>
      </c>
      <c r="IP72" s="167" t="s">
        <v>593</v>
      </c>
      <c r="IQ72" s="583">
        <f>IQ25+IQ26</f>
        <v>449.49122699999998</v>
      </c>
      <c r="IR72" s="561">
        <f t="shared" ref="IR72:JH72" si="373">IR25+IR26</f>
        <v>661.75739599999997</v>
      </c>
      <c r="IS72" s="561">
        <f t="shared" si="373"/>
        <v>580.67635100000007</v>
      </c>
      <c r="IT72" s="561">
        <f t="shared" si="373"/>
        <v>459.65989300000001</v>
      </c>
      <c r="IU72" s="561">
        <f t="shared" si="373"/>
        <v>739.45460100000003</v>
      </c>
      <c r="IV72" s="561">
        <f t="shared" si="373"/>
        <v>9908.6596989999998</v>
      </c>
      <c r="IW72" s="703">
        <f t="shared" si="373"/>
        <v>411.1633804591263</v>
      </c>
      <c r="IX72" s="704">
        <f t="shared" si="373"/>
        <v>636.75935794821498</v>
      </c>
      <c r="IY72" s="704">
        <f t="shared" si="373"/>
        <v>569.07896891821702</v>
      </c>
      <c r="IZ72" s="704">
        <f t="shared" si="373"/>
        <v>461.40575963308095</v>
      </c>
      <c r="JA72" s="704">
        <f t="shared" si="373"/>
        <v>746.63984891802943</v>
      </c>
      <c r="JB72" s="173">
        <f t="shared" si="373"/>
        <v>9729.8317649178953</v>
      </c>
      <c r="JC72" s="703">
        <f t="shared" si="373"/>
        <v>420.26945632403897</v>
      </c>
      <c r="JD72" s="704">
        <f t="shared" si="373"/>
        <v>715.75187757451408</v>
      </c>
      <c r="JE72" s="704">
        <f t="shared" si="373"/>
        <v>698.00021385346599</v>
      </c>
      <c r="JF72" s="704">
        <f t="shared" si="373"/>
        <v>436.16893703217801</v>
      </c>
      <c r="JG72" s="704">
        <f t="shared" si="373"/>
        <v>738.14516410656495</v>
      </c>
      <c r="JH72" s="173">
        <f t="shared" si="373"/>
        <v>10191.03608657672</v>
      </c>
      <c r="JJ72" s="167" t="s">
        <v>593</v>
      </c>
      <c r="JK72" s="583">
        <f t="shared" ref="JK72:JV72" si="374">JK25+JK26</f>
        <v>1258.0442229999999</v>
      </c>
      <c r="JL72" s="561">
        <f t="shared" si="374"/>
        <v>1334.804402</v>
      </c>
      <c r="JM72" s="561">
        <f t="shared" si="374"/>
        <v>245.18978899999999</v>
      </c>
      <c r="JN72" s="562">
        <f t="shared" si="374"/>
        <v>53.001055000000001</v>
      </c>
      <c r="JO72" s="583">
        <f t="shared" si="374"/>
        <v>1331.7743115838655</v>
      </c>
      <c r="JP72" s="561">
        <f t="shared" si="374"/>
        <v>1356.507414646564</v>
      </c>
      <c r="JQ72" s="561">
        <f t="shared" si="374"/>
        <v>53.109287123213797</v>
      </c>
      <c r="JR72" s="562">
        <f t="shared" si="374"/>
        <v>83.656302523025289</v>
      </c>
      <c r="JS72" s="583">
        <f t="shared" si="374"/>
        <v>1334.1249978383898</v>
      </c>
      <c r="JT72" s="561">
        <f t="shared" si="374"/>
        <v>1415.0095533695971</v>
      </c>
      <c r="JU72" s="561">
        <f t="shared" si="374"/>
        <v>218.85068699617591</v>
      </c>
      <c r="JV72" s="562">
        <f t="shared" si="374"/>
        <v>40.350410686599901</v>
      </c>
      <c r="JX72" s="167" t="s">
        <v>593</v>
      </c>
      <c r="JY72" s="583">
        <f t="shared" ref="JY72:KB72" si="375">JY25+JY26</f>
        <v>668.17431554797508</v>
      </c>
      <c r="JZ72" s="561">
        <f t="shared" si="375"/>
        <v>955.35428684101907</v>
      </c>
      <c r="KA72" s="561">
        <f t="shared" si="375"/>
        <v>462.72279553223399</v>
      </c>
      <c r="KB72" s="562">
        <f t="shared" si="375"/>
        <v>922.08425096953488</v>
      </c>
      <c r="KC72" s="604"/>
      <c r="KD72" s="167" t="s">
        <v>593</v>
      </c>
      <c r="KE72" s="583">
        <f t="shared" ref="KE72:KV72" si="376">KE25+KE26</f>
        <v>128.74439028785599</v>
      </c>
      <c r="KF72" s="561">
        <f t="shared" si="376"/>
        <v>127.40776085690041</v>
      </c>
      <c r="KG72" s="561">
        <f t="shared" si="376"/>
        <v>478.54240550357497</v>
      </c>
      <c r="KH72" s="561">
        <f t="shared" si="376"/>
        <v>614.4511118000089</v>
      </c>
      <c r="KI72" s="561">
        <f t="shared" si="376"/>
        <v>438.35830499306599</v>
      </c>
      <c r="KJ72" s="562">
        <f t="shared" si="376"/>
        <v>153.75095940308131</v>
      </c>
      <c r="KK72" s="583">
        <f t="shared" si="376"/>
        <v>367.81478980207908</v>
      </c>
      <c r="KL72" s="561">
        <f t="shared" si="376"/>
        <v>358.321689715795</v>
      </c>
      <c r="KM72" s="561">
        <f t="shared" si="376"/>
        <v>136.73151367314728</v>
      </c>
      <c r="KN72" s="561">
        <f t="shared" si="376"/>
        <v>53.184552397726797</v>
      </c>
      <c r="KO72" s="561">
        <f t="shared" si="376"/>
        <v>46.534552768196598</v>
      </c>
      <c r="KP72" s="562">
        <f t="shared" si="376"/>
        <v>36.488851998893693</v>
      </c>
      <c r="KQ72" s="583">
        <f t="shared" si="376"/>
        <v>496.55918008993501</v>
      </c>
      <c r="KR72" s="561">
        <f t="shared" si="376"/>
        <v>485.72945057269601</v>
      </c>
      <c r="KS72" s="561">
        <f t="shared" si="376"/>
        <v>618.55908765237291</v>
      </c>
      <c r="KT72" s="561">
        <f t="shared" si="376"/>
        <v>671.83870431575406</v>
      </c>
      <c r="KU72" s="561">
        <f t="shared" si="376"/>
        <v>484.89285776126303</v>
      </c>
      <c r="KV72" s="562">
        <f t="shared" si="376"/>
        <v>190.23981140197492</v>
      </c>
      <c r="KW72" s="429"/>
      <c r="KX72" s="167" t="s">
        <v>593</v>
      </c>
      <c r="KY72" s="583">
        <f t="shared" ref="KY72:LA72" si="377">KY25+KY26</f>
        <v>597.59167800000012</v>
      </c>
      <c r="KZ72" s="561">
        <f t="shared" si="377"/>
        <v>1757.257732</v>
      </c>
      <c r="LA72" s="562">
        <f t="shared" si="377"/>
        <v>536.19005900000002</v>
      </c>
      <c r="LB72" s="583">
        <f t="shared" ref="LB72:LD72" si="378">LB25+LB26</f>
        <v>707.60300411621142</v>
      </c>
      <c r="LC72" s="561">
        <f t="shared" si="378"/>
        <v>1516.8751934595502</v>
      </c>
      <c r="LD72" s="562">
        <f t="shared" si="378"/>
        <v>600.56911830090667</v>
      </c>
      <c r="LE72" s="583">
        <f t="shared" ref="LE72:LG72" si="379">LE25+LE26</f>
        <v>749.27697526471297</v>
      </c>
      <c r="LF72" s="561">
        <f t="shared" si="379"/>
        <v>1647.3599285135081</v>
      </c>
      <c r="LG72" s="562">
        <f t="shared" si="379"/>
        <v>611.69874511253897</v>
      </c>
      <c r="LH72" s="426"/>
      <c r="LI72" s="167" t="s">
        <v>593</v>
      </c>
      <c r="LJ72" s="583">
        <f t="shared" ref="LJ72:MA72" si="380">LJ25+LJ26</f>
        <v>2571.3610659999999</v>
      </c>
      <c r="LK72" s="561">
        <f t="shared" si="380"/>
        <v>2289.73083</v>
      </c>
      <c r="LL72" s="561">
        <f t="shared" si="380"/>
        <v>281.63023599999997</v>
      </c>
      <c r="LM72" s="561">
        <f t="shared" si="380"/>
        <v>597.18044399999997</v>
      </c>
      <c r="LN72" s="561">
        <f t="shared" si="380"/>
        <v>211.67429800000002</v>
      </c>
      <c r="LO72" s="562">
        <f t="shared" si="380"/>
        <v>164.44661099999999</v>
      </c>
      <c r="LP72" s="583">
        <f t="shared" si="380"/>
        <v>2388.6010532164591</v>
      </c>
      <c r="LQ72" s="561">
        <f t="shared" si="380"/>
        <v>2112.0382405399782</v>
      </c>
      <c r="LR72" s="561">
        <f t="shared" si="380"/>
        <v>276.56281267648109</v>
      </c>
      <c r="LS72" s="561">
        <f t="shared" si="380"/>
        <v>839.10320190023572</v>
      </c>
      <c r="LT72" s="561">
        <f t="shared" si="380"/>
        <v>183.59432556043129</v>
      </c>
      <c r="LU72" s="562">
        <f t="shared" si="380"/>
        <v>135.81722914698918</v>
      </c>
      <c r="LV72" s="583">
        <f t="shared" si="380"/>
        <v>2808.68135654359</v>
      </c>
      <c r="LW72" s="561">
        <f t="shared" si="380"/>
        <v>2497.0128323704903</v>
      </c>
      <c r="LX72" s="561">
        <f t="shared" si="380"/>
        <v>311.66852417310201</v>
      </c>
      <c r="LY72" s="561">
        <f t="shared" si="380"/>
        <v>638.25529530774702</v>
      </c>
      <c r="LZ72" s="561">
        <f t="shared" si="380"/>
        <v>142.2215546937224</v>
      </c>
      <c r="MA72" s="562">
        <f t="shared" si="380"/>
        <v>105.4752393742661</v>
      </c>
      <c r="MC72" s="167" t="s">
        <v>593</v>
      </c>
      <c r="MD72" s="583">
        <f t="shared" ref="MD72:MU72" si="381">MD25+MD26</f>
        <v>1.998891</v>
      </c>
      <c r="ME72" s="561">
        <f t="shared" si="381"/>
        <v>83.959030999999996</v>
      </c>
      <c r="MF72" s="561">
        <f t="shared" si="381"/>
        <v>639.09533499999998</v>
      </c>
      <c r="MG72" s="561">
        <f t="shared" si="381"/>
        <v>792.28867400000001</v>
      </c>
      <c r="MH72" s="561">
        <f t="shared" si="381"/>
        <v>575.03774999999996</v>
      </c>
      <c r="MI72" s="562">
        <f t="shared" si="381"/>
        <v>200.351145</v>
      </c>
      <c r="MJ72" s="583">
        <f t="shared" si="381"/>
        <v>0</v>
      </c>
      <c r="MK72" s="561">
        <f t="shared" si="381"/>
        <v>97.281087651498837</v>
      </c>
      <c r="ML72" s="561">
        <f t="shared" si="381"/>
        <v>773.05990848592535</v>
      </c>
      <c r="MM72" s="561">
        <f t="shared" si="381"/>
        <v>667.18605488151593</v>
      </c>
      <c r="MN72" s="561">
        <f t="shared" si="381"/>
        <v>415.10609802825365</v>
      </c>
      <c r="MO72" s="562">
        <f t="shared" si="381"/>
        <v>159.40509149278455</v>
      </c>
      <c r="MP72" s="583">
        <f t="shared" si="381"/>
        <v>3.3979789067823098</v>
      </c>
      <c r="MQ72" s="561">
        <f t="shared" si="381"/>
        <v>114.7321408767781</v>
      </c>
      <c r="MR72" s="561">
        <f t="shared" si="381"/>
        <v>868.90924985554705</v>
      </c>
      <c r="MS72" s="561">
        <f t="shared" si="381"/>
        <v>764.38013496320104</v>
      </c>
      <c r="MT72" s="561">
        <f t="shared" si="381"/>
        <v>549.418855514494</v>
      </c>
      <c r="MU72" s="562">
        <f t="shared" si="381"/>
        <v>196.1744722536877</v>
      </c>
      <c r="MW72" s="167" t="s">
        <v>593</v>
      </c>
      <c r="MX72" s="583">
        <f t="shared" ref="MX72:NF72" si="382">MX25+MX26</f>
        <v>2309.3559379999997</v>
      </c>
      <c r="MY72" s="561">
        <f t="shared" si="382"/>
        <v>2046.966496</v>
      </c>
      <c r="MZ72" s="561">
        <f t="shared" si="382"/>
        <v>262.38944199999997</v>
      </c>
      <c r="NA72" s="583">
        <f t="shared" si="382"/>
        <v>2129.6817830205355</v>
      </c>
      <c r="NB72" s="561">
        <f t="shared" si="382"/>
        <v>1818.8210849439936</v>
      </c>
      <c r="NC72" s="562">
        <f t="shared" si="382"/>
        <v>310.86069807654167</v>
      </c>
      <c r="ND72" s="583">
        <f t="shared" si="382"/>
        <v>2545.3333799552001</v>
      </c>
      <c r="NE72" s="561">
        <f t="shared" si="382"/>
        <v>2201.10711010467</v>
      </c>
      <c r="NF72" s="562">
        <f t="shared" si="382"/>
        <v>344.22626985053296</v>
      </c>
      <c r="NH72" s="167" t="s">
        <v>593</v>
      </c>
      <c r="NI72" s="583">
        <f t="shared" ref="NI72:NR72" si="383">NI25+NI26</f>
        <v>1404.3792941078545</v>
      </c>
      <c r="NJ72" s="562">
        <f t="shared" si="383"/>
        <v>414.44179083613915</v>
      </c>
      <c r="NK72" s="583">
        <f t="shared" si="383"/>
        <v>174.53564294143456</v>
      </c>
      <c r="NL72" s="561">
        <f t="shared" si="383"/>
        <v>136.32505513510711</v>
      </c>
      <c r="NM72" s="562">
        <f t="shared" si="383"/>
        <v>0</v>
      </c>
      <c r="NN72" s="583">
        <f t="shared" si="383"/>
        <v>1696.4369252947831</v>
      </c>
      <c r="NO72" s="562">
        <f t="shared" si="383"/>
        <v>504.67018480988469</v>
      </c>
      <c r="NP72" s="583">
        <f t="shared" si="383"/>
        <v>200.55392701488842</v>
      </c>
      <c r="NQ72" s="561">
        <f t="shared" si="383"/>
        <v>143.67234283564432</v>
      </c>
      <c r="NR72" s="562">
        <f t="shared" si="383"/>
        <v>0</v>
      </c>
      <c r="NS72" s="136"/>
      <c r="NT72" s="167" t="s">
        <v>593</v>
      </c>
      <c r="NU72" s="583">
        <f t="shared" ref="NU72:OB72" si="384">NU25+NU26</f>
        <v>248.23329440039521</v>
      </c>
      <c r="NV72" s="561">
        <f t="shared" si="384"/>
        <v>37.597707205078351</v>
      </c>
      <c r="NW72" s="561">
        <f t="shared" si="384"/>
        <v>30.872604907063177</v>
      </c>
      <c r="NX72" s="562">
        <f t="shared" si="384"/>
        <v>97.738184323602383</v>
      </c>
      <c r="NY72" s="583">
        <f t="shared" si="384"/>
        <v>308.51852045701196</v>
      </c>
      <c r="NZ72" s="561">
        <f t="shared" si="384"/>
        <v>37.542904596154301</v>
      </c>
      <c r="OA72" s="561">
        <f t="shared" si="384"/>
        <v>18.8111465876013</v>
      </c>
      <c r="OB72" s="562">
        <f t="shared" si="384"/>
        <v>139.79761316911711</v>
      </c>
      <c r="OC72" s="553"/>
      <c r="OD72" s="167" t="s">
        <v>593</v>
      </c>
      <c r="OE72" s="583">
        <f t="shared" ref="OE72:OR72" si="385">OE25+OE26</f>
        <v>163.57677005473721</v>
      </c>
      <c r="OF72" s="561">
        <f t="shared" si="385"/>
        <v>290.23248210721897</v>
      </c>
      <c r="OG72" s="561">
        <f t="shared" si="385"/>
        <v>213.74972757024761</v>
      </c>
      <c r="OH72" s="561">
        <f t="shared" si="385"/>
        <v>198.15308630335269</v>
      </c>
      <c r="OI72" s="561">
        <f t="shared" si="385"/>
        <v>586.06326150315999</v>
      </c>
      <c r="OJ72" s="561">
        <f t="shared" si="385"/>
        <v>132.10865487387662</v>
      </c>
      <c r="OK72" s="562">
        <f t="shared" si="385"/>
        <v>48.789080425271806</v>
      </c>
      <c r="OL72" s="583">
        <f t="shared" si="385"/>
        <v>235.3740907607617</v>
      </c>
      <c r="OM72" s="561">
        <f t="shared" si="385"/>
        <v>295.96414617694802</v>
      </c>
      <c r="ON72" s="561">
        <f t="shared" si="385"/>
        <v>217.0348960458976</v>
      </c>
      <c r="OO72" s="561">
        <f t="shared" si="385"/>
        <v>198.15308630335269</v>
      </c>
      <c r="OP72" s="561">
        <f t="shared" si="385"/>
        <v>777.4911452158849</v>
      </c>
      <c r="OQ72" s="561">
        <f t="shared" si="385"/>
        <v>496.59131698543604</v>
      </c>
      <c r="OR72" s="562">
        <f t="shared" si="385"/>
        <v>3097.8614395622699</v>
      </c>
      <c r="OT72" s="167" t="s">
        <v>593</v>
      </c>
      <c r="OU72" s="583">
        <f t="shared" ref="OU72:PF72" si="386">OU25+OU26</f>
        <v>724.48809600000004</v>
      </c>
      <c r="OV72" s="561">
        <f t="shared" si="386"/>
        <v>548.85714800000005</v>
      </c>
      <c r="OW72" s="561">
        <f t="shared" si="386"/>
        <v>538.10784999999998</v>
      </c>
      <c r="OX72" s="562">
        <f t="shared" si="386"/>
        <v>1718.006241</v>
      </c>
      <c r="OY72" s="583">
        <f t="shared" si="386"/>
        <v>546.02956600553557</v>
      </c>
      <c r="OZ72" s="561">
        <f t="shared" si="386"/>
        <v>375.71354000780536</v>
      </c>
      <c r="PA72" s="561">
        <f t="shared" si="386"/>
        <v>572.14263681738294</v>
      </c>
      <c r="PB72" s="562">
        <f t="shared" si="386"/>
        <v>1827.1705911658375</v>
      </c>
      <c r="PC72" s="583">
        <f t="shared" si="386"/>
        <v>380.36924548700057</v>
      </c>
      <c r="PD72" s="561">
        <f t="shared" si="386"/>
        <v>422.80804317581197</v>
      </c>
      <c r="PE72" s="561">
        <f t="shared" si="386"/>
        <v>551.88951338883601</v>
      </c>
      <c r="PF72" s="562">
        <f t="shared" si="386"/>
        <v>2249.9161029096394</v>
      </c>
      <c r="PH72" s="167" t="s">
        <v>593</v>
      </c>
      <c r="PI72" s="583">
        <f t="shared" ref="PI72:PP72" si="387">PI25+PI26</f>
        <v>164.47228296565871</v>
      </c>
      <c r="PJ72" s="561">
        <f t="shared" si="387"/>
        <v>227.32637842397841</v>
      </c>
      <c r="PK72" s="561">
        <f t="shared" si="387"/>
        <v>236.03944163978997</v>
      </c>
      <c r="PL72" s="562">
        <f t="shared" si="387"/>
        <v>989.52024830565381</v>
      </c>
      <c r="PM72" s="583">
        <f t="shared" si="387"/>
        <v>215.89696252134161</v>
      </c>
      <c r="PN72" s="561">
        <f t="shared" si="387"/>
        <v>195.48166475183359</v>
      </c>
      <c r="PO72" s="561">
        <f t="shared" si="387"/>
        <v>315.85007174904604</v>
      </c>
      <c r="PP72" s="562">
        <f t="shared" si="387"/>
        <v>1260.395854603986</v>
      </c>
      <c r="PQ72" s="65"/>
      <c r="PR72" s="169" t="s">
        <v>593</v>
      </c>
      <c r="PS72" s="1038">
        <f t="shared" ref="PS72:PW72" si="388">PS25+PS26</f>
        <v>55.991319239650807</v>
      </c>
      <c r="PT72" s="1039">
        <f t="shared" si="388"/>
        <v>422.57102122518495</v>
      </c>
      <c r="PU72" s="1039">
        <f t="shared" si="388"/>
        <v>332.51482864106504</v>
      </c>
      <c r="PV72" s="1039">
        <f t="shared" si="388"/>
        <v>19.46693276297173</v>
      </c>
      <c r="PW72" s="1039">
        <f t="shared" si="388"/>
        <v>1278.991499389886</v>
      </c>
      <c r="PX72" s="1040">
        <f t="shared" ref="PX72" si="389">PX25+PX26</f>
        <v>435.79777869644198</v>
      </c>
      <c r="PZ72" s="169" t="s">
        <v>593</v>
      </c>
      <c r="QA72" s="1038">
        <f t="shared" ref="QA72:QF72" si="390">QA25+QA26</f>
        <v>1603.535297098545</v>
      </c>
      <c r="QB72" s="1039">
        <f t="shared" si="390"/>
        <v>941.79808285665501</v>
      </c>
      <c r="QC72" s="1039">
        <f t="shared" si="390"/>
        <v>666.0578009404519</v>
      </c>
      <c r="QD72" s="1039">
        <f t="shared" ref="QD72" si="391">QD25+QD26</f>
        <v>86.125513383375591</v>
      </c>
      <c r="QE72" s="1039">
        <f t="shared" si="390"/>
        <v>186.3436867856087</v>
      </c>
      <c r="QF72" s="1040">
        <f t="shared" si="390"/>
        <v>3.2710817472195299</v>
      </c>
    </row>
    <row r="73" spans="1:448" ht="13.5" customHeight="1">
      <c r="A73" s="136"/>
      <c r="B73" s="167" t="s">
        <v>594</v>
      </c>
      <c r="C73" s="561">
        <f t="shared" ref="C73" si="392">C27+C28</f>
        <v>5826.9043550000006</v>
      </c>
      <c r="D73" s="561">
        <f t="shared" ref="D73:E73" si="393">D27+D28</f>
        <v>5285.5328476977202</v>
      </c>
      <c r="E73" s="562">
        <f t="shared" si="393"/>
        <v>5237.1065626223599</v>
      </c>
      <c r="F73" s="136"/>
      <c r="G73" s="167" t="s">
        <v>594</v>
      </c>
      <c r="H73" s="318">
        <f t="shared" si="5"/>
        <v>-1.9313544179931252E-2</v>
      </c>
      <c r="I73" s="668">
        <f t="shared" si="6"/>
        <v>-1.8391614201541673E-3</v>
      </c>
      <c r="J73" s="612"/>
      <c r="K73" s="63"/>
      <c r="L73" s="167" t="s">
        <v>594</v>
      </c>
      <c r="M73" s="583">
        <f t="shared" ref="M73:T73" si="394">M27+M28</f>
        <v>52</v>
      </c>
      <c r="N73" s="561">
        <f t="shared" si="394"/>
        <v>50</v>
      </c>
      <c r="O73" s="561">
        <f t="shared" si="394"/>
        <v>53</v>
      </c>
      <c r="P73" s="561">
        <f t="shared" si="394"/>
        <v>64</v>
      </c>
      <c r="Q73" s="561">
        <f t="shared" si="394"/>
        <v>55</v>
      </c>
      <c r="R73" s="561">
        <f t="shared" si="394"/>
        <v>52</v>
      </c>
      <c r="S73" s="561">
        <f t="shared" si="394"/>
        <v>65</v>
      </c>
      <c r="T73" s="561">
        <f t="shared" si="394"/>
        <v>67</v>
      </c>
      <c r="U73" s="561">
        <f t="shared" ref="U73:V73" si="395">U27+U28</f>
        <v>61</v>
      </c>
      <c r="V73" s="561">
        <f t="shared" si="395"/>
        <v>55</v>
      </c>
      <c r="W73" s="562">
        <f t="shared" ref="W73" si="396">W27+W28</f>
        <v>58</v>
      </c>
      <c r="X73" s="167" t="s">
        <v>594</v>
      </c>
      <c r="Y73" s="583">
        <f t="shared" ref="Y73:AB73" si="397">Y27+Y28</f>
        <v>51</v>
      </c>
      <c r="Z73" s="561">
        <f t="shared" si="397"/>
        <v>58.5</v>
      </c>
      <c r="AA73" s="561">
        <f t="shared" si="397"/>
        <v>53.5</v>
      </c>
      <c r="AB73" s="561">
        <f t="shared" si="397"/>
        <v>66</v>
      </c>
      <c r="AC73" s="1206">
        <f t="shared" ref="AC73" si="398">AC27+AC28</f>
        <v>66</v>
      </c>
      <c r="AD73" s="336">
        <f t="shared" si="98"/>
        <v>0.14705882352941177</v>
      </c>
      <c r="AE73" s="336">
        <f t="shared" si="99"/>
        <v>-8.5470085470085472E-2</v>
      </c>
      <c r="AF73" s="336">
        <f t="shared" si="100"/>
        <v>0.23364485981308411</v>
      </c>
      <c r="AG73" s="1217">
        <f t="shared" si="101"/>
        <v>0</v>
      </c>
      <c r="AN73" s="167" t="s">
        <v>594</v>
      </c>
      <c r="AO73" s="583">
        <f t="shared" ref="AO73:AV73" si="399">AO27+AO28</f>
        <v>0</v>
      </c>
      <c r="AP73" s="561">
        <f t="shared" si="399"/>
        <v>95.053189000000003</v>
      </c>
      <c r="AQ73" s="561">
        <f t="shared" si="399"/>
        <v>446.86513100000002</v>
      </c>
      <c r="AR73" s="561">
        <f t="shared" si="399"/>
        <v>963.83002499999998</v>
      </c>
      <c r="AS73" s="561">
        <f t="shared" si="399"/>
        <v>936.66402399999993</v>
      </c>
      <c r="AT73" s="561">
        <f t="shared" si="399"/>
        <v>334.23428699999999</v>
      </c>
      <c r="AU73" s="561">
        <f t="shared" si="399"/>
        <v>1175.5772870000001</v>
      </c>
      <c r="AV73" s="562">
        <f t="shared" si="399"/>
        <v>1059.6211859999999</v>
      </c>
      <c r="AW73" s="583">
        <f t="shared" ref="AW73:BD73" si="400">AW27+AW28</f>
        <v>0</v>
      </c>
      <c r="AX73" s="561">
        <f t="shared" si="400"/>
        <v>124.24941629422395</v>
      </c>
      <c r="AY73" s="561">
        <f t="shared" si="400"/>
        <v>535.65644487005557</v>
      </c>
      <c r="AZ73" s="561">
        <f t="shared" si="400"/>
        <v>884.25443178604314</v>
      </c>
      <c r="BA73" s="561">
        <f t="shared" si="400"/>
        <v>793.37279831586034</v>
      </c>
      <c r="BB73" s="561">
        <f t="shared" si="400"/>
        <v>370.5855121887185</v>
      </c>
      <c r="BC73" s="561">
        <f t="shared" si="400"/>
        <v>1035.5595351712518</v>
      </c>
      <c r="BD73" s="562">
        <f t="shared" si="400"/>
        <v>906.1957808260097</v>
      </c>
      <c r="BE73" s="583">
        <f t="shared" ref="BE73:BL73" si="401">BE27+BE28</f>
        <v>0</v>
      </c>
      <c r="BF73" s="561">
        <f t="shared" si="401"/>
        <v>125.81814343230531</v>
      </c>
      <c r="BG73" s="561">
        <f t="shared" si="401"/>
        <v>621.42335140083105</v>
      </c>
      <c r="BH73" s="561">
        <f t="shared" si="401"/>
        <v>861.19667280067006</v>
      </c>
      <c r="BI73" s="561">
        <f t="shared" si="401"/>
        <v>695.36188903363097</v>
      </c>
      <c r="BJ73" s="561">
        <f t="shared" si="401"/>
        <v>271.59146798362201</v>
      </c>
      <c r="BK73" s="561">
        <f t="shared" si="401"/>
        <v>1014.5290133296201</v>
      </c>
      <c r="BL73" s="562">
        <f t="shared" si="401"/>
        <v>954.46680229785102</v>
      </c>
      <c r="BN73" s="167" t="s">
        <v>594</v>
      </c>
      <c r="BO73" s="583">
        <f t="shared" ref="BO73:BT73" si="402">BO27+BO28</f>
        <v>810.05923499999994</v>
      </c>
      <c r="BP73" s="561">
        <f t="shared" si="402"/>
        <v>1487.1703809999999</v>
      </c>
      <c r="BQ73" s="561">
        <f t="shared" si="402"/>
        <v>1173.1938889999999</v>
      </c>
      <c r="BR73" s="561">
        <f t="shared" si="402"/>
        <v>1119.680818</v>
      </c>
      <c r="BS73" s="561">
        <f t="shared" si="402"/>
        <v>608.78062</v>
      </c>
      <c r="BT73" s="562">
        <f t="shared" si="402"/>
        <v>628.01941099999999</v>
      </c>
      <c r="BU73" s="583">
        <f t="shared" ref="BU73:BZ73" si="403">BU27+BU28</f>
        <v>643.65892199345512</v>
      </c>
      <c r="BV73" s="561">
        <f t="shared" si="403"/>
        <v>1380.6418106179067</v>
      </c>
      <c r="BW73" s="561">
        <f t="shared" si="403"/>
        <v>1095.6250948966574</v>
      </c>
      <c r="BX73" s="561">
        <f t="shared" si="403"/>
        <v>999.89510800112862</v>
      </c>
      <c r="BY73" s="561">
        <f t="shared" si="403"/>
        <v>628.41532929122002</v>
      </c>
      <c r="BZ73" s="562">
        <f t="shared" si="403"/>
        <v>537.29658289735244</v>
      </c>
      <c r="CA73" s="583">
        <f t="shared" ref="CA73:CF73" si="404">CA27+CA28</f>
        <v>697.71922742075594</v>
      </c>
      <c r="CB73" s="561">
        <f t="shared" si="404"/>
        <v>1310.572287040585</v>
      </c>
      <c r="CC73" s="561">
        <f t="shared" si="404"/>
        <v>1072.3791022559199</v>
      </c>
      <c r="CD73" s="561">
        <f t="shared" si="404"/>
        <v>990.05484680715904</v>
      </c>
      <c r="CE73" s="561">
        <f t="shared" si="404"/>
        <v>700.675445197626</v>
      </c>
      <c r="CF73" s="562">
        <f t="shared" si="404"/>
        <v>465.70565390031402</v>
      </c>
      <c r="CG73" s="429"/>
      <c r="CH73" s="167" t="s">
        <v>594</v>
      </c>
      <c r="CI73" s="583">
        <f t="shared" ref="CI73:CK73" si="405">CI27+CI28</f>
        <v>1238.6311479999999</v>
      </c>
      <c r="CJ73" s="561">
        <f t="shared" si="405"/>
        <v>3607.9736110000003</v>
      </c>
      <c r="CK73" s="561">
        <f t="shared" si="405"/>
        <v>980.29959699999995</v>
      </c>
      <c r="CL73" s="583">
        <f t="shared" ref="CL73:CN73" si="406">CL27+CL28</f>
        <v>999.74029480359047</v>
      </c>
      <c r="CM73" s="561">
        <f t="shared" si="406"/>
        <v>3457.3334213228936</v>
      </c>
      <c r="CN73" s="561">
        <f t="shared" si="406"/>
        <v>828.45913157123618</v>
      </c>
      <c r="CO73" s="583">
        <f t="shared" ref="CO73:CQ73" si="407">CO27+CO28</f>
        <v>1059.088174787079</v>
      </c>
      <c r="CP73" s="561">
        <f t="shared" si="407"/>
        <v>3293.6076792236099</v>
      </c>
      <c r="CQ73" s="562">
        <f t="shared" si="407"/>
        <v>884.41070861167009</v>
      </c>
      <c r="CR73" s="429"/>
      <c r="DG73" s="167" t="s">
        <v>594</v>
      </c>
      <c r="DH73" s="829"/>
      <c r="DI73" s="830"/>
      <c r="DJ73" s="830"/>
      <c r="DK73" s="830"/>
      <c r="DL73" s="830"/>
      <c r="DM73" s="831"/>
      <c r="DO73" s="167" t="s">
        <v>594</v>
      </c>
      <c r="DP73" s="704">
        <f t="shared" ref="DP73:DR73" si="408">DP27+DP28</f>
        <v>2814.503244</v>
      </c>
      <c r="DQ73" s="561">
        <f t="shared" si="408"/>
        <v>2703.3514230607061</v>
      </c>
      <c r="DR73" s="562">
        <f t="shared" si="408"/>
        <v>2699.71298077951</v>
      </c>
      <c r="DS73" s="63"/>
      <c r="DT73" s="167" t="s">
        <v>594</v>
      </c>
      <c r="DU73" s="583">
        <f t="shared" ref="DU73:DW73" si="409">DU27+DU28</f>
        <v>5476.904783</v>
      </c>
      <c r="DV73" s="561">
        <f t="shared" si="409"/>
        <v>5023.5330524540559</v>
      </c>
      <c r="DW73" s="562">
        <f t="shared" si="409"/>
        <v>4913.1062336376099</v>
      </c>
      <c r="DX73" s="63"/>
      <c r="DY73" s="167" t="s">
        <v>594</v>
      </c>
      <c r="DZ73" s="1092">
        <f t="shared" ref="DZ73:DZ91" si="410">VLOOKUP($B73,$DT$9:$DW$91,2,FALSE)/VLOOKUP($B73,$DO$9:$DR$91,2,FALSE)</f>
        <v>1.9459578860588445</v>
      </c>
      <c r="EA73" s="790">
        <f t="shared" ref="EA73:EA91" si="411">VLOOKUP($B73,$DT$9:$DW$91,3,FALSE)/VLOOKUP($B73,$DO$9:$DR$91,3,FALSE)</f>
        <v>1.8582611974163776</v>
      </c>
      <c r="EB73" s="779">
        <f t="shared" ref="EB73:EB91" si="412">VLOOKUP($B73,$DT$9:$DW$91,4,FALSE)/VLOOKUP($B73,$DO$9:$DR$91,4,FALSE)</f>
        <v>1.8198624330127897</v>
      </c>
      <c r="ED73" s="541"/>
      <c r="EE73" s="167" t="s">
        <v>594</v>
      </c>
      <c r="EF73" s="583">
        <f t="shared" ref="EF73:EJ73" si="413">EF27+EF28</f>
        <v>1259.492383</v>
      </c>
      <c r="EG73" s="561">
        <f t="shared" si="413"/>
        <v>107.76390599999999</v>
      </c>
      <c r="EH73" s="561">
        <f t="shared" si="413"/>
        <v>685.18016499999999</v>
      </c>
      <c r="EI73" s="561">
        <f t="shared" si="413"/>
        <v>525.55922999999996</v>
      </c>
      <c r="EJ73" s="561">
        <f t="shared" si="413"/>
        <v>236.50756000000001</v>
      </c>
      <c r="EK73" s="583">
        <f t="shared" ref="EK73:EO73" si="414">EK27+EK28</f>
        <v>1308.2467222773905</v>
      </c>
      <c r="EL73" s="561">
        <f t="shared" si="414"/>
        <v>105.23909396670541</v>
      </c>
      <c r="EM73" s="561">
        <f t="shared" si="414"/>
        <v>654.65023724398225</v>
      </c>
      <c r="EN73" s="561">
        <f t="shared" si="414"/>
        <v>424.82663897178725</v>
      </c>
      <c r="EO73" s="561">
        <f t="shared" si="414"/>
        <v>210.38873060084055</v>
      </c>
      <c r="EP73" s="583">
        <f t="shared" ref="EP73:ET73" si="415">EP27+EP28</f>
        <v>1348.965686938795</v>
      </c>
      <c r="EQ73" s="561">
        <f t="shared" si="415"/>
        <v>105.34746514569989</v>
      </c>
      <c r="ER73" s="561">
        <f t="shared" si="415"/>
        <v>646.76152426607109</v>
      </c>
      <c r="ES73" s="561">
        <f t="shared" si="415"/>
        <v>402.287397715206</v>
      </c>
      <c r="ET73" s="562">
        <f t="shared" si="415"/>
        <v>196.3509067137401</v>
      </c>
      <c r="EV73" s="167" t="s">
        <v>594</v>
      </c>
      <c r="EW73" s="583">
        <f t="shared" ref="EW73:FD73" si="416">EW27+EW28</f>
        <v>224.09153800000001</v>
      </c>
      <c r="EX73" s="561">
        <f t="shared" si="416"/>
        <v>470.78691100000003</v>
      </c>
      <c r="EY73" s="561">
        <f t="shared" si="416"/>
        <v>357.84870599999999</v>
      </c>
      <c r="EZ73" s="561">
        <f t="shared" si="416"/>
        <v>209.76522299999999</v>
      </c>
      <c r="FA73" s="583">
        <f t="shared" si="416"/>
        <v>954.27473299999997</v>
      </c>
      <c r="FB73" s="561">
        <f t="shared" si="416"/>
        <v>2138.5376639999999</v>
      </c>
      <c r="FC73" s="561">
        <f t="shared" si="416"/>
        <v>1183.189394</v>
      </c>
      <c r="FD73" s="561">
        <f t="shared" si="416"/>
        <v>393.84375199999999</v>
      </c>
      <c r="FE73" s="583">
        <f t="shared" ref="FE73:FL73" si="417">FE27+FE28</f>
        <v>244.08757966652408</v>
      </c>
      <c r="FF73" s="561">
        <f t="shared" si="417"/>
        <v>521.35074058740781</v>
      </c>
      <c r="FG73" s="561">
        <f t="shared" si="417"/>
        <v>332.09735716778368</v>
      </c>
      <c r="FH73" s="562">
        <f t="shared" si="417"/>
        <v>208.71104641870051</v>
      </c>
      <c r="FI73" s="583">
        <f t="shared" si="417"/>
        <v>921.29614649272253</v>
      </c>
      <c r="FJ73" s="561">
        <f t="shared" si="417"/>
        <v>1986.9981852079914</v>
      </c>
      <c r="FK73" s="561">
        <f t="shared" si="417"/>
        <v>1087.9628485088585</v>
      </c>
      <c r="FL73" s="562">
        <f t="shared" si="417"/>
        <v>386.61694790649034</v>
      </c>
      <c r="FM73" s="703">
        <f t="shared" ref="FM73:FT73" si="418">FM27+FM28</f>
        <v>249.398196021709</v>
      </c>
      <c r="FN73" s="704">
        <f t="shared" si="418"/>
        <v>565.48049274980701</v>
      </c>
      <c r="FO73" s="704">
        <f t="shared" si="418"/>
        <v>338.25881663506505</v>
      </c>
      <c r="FP73" s="173">
        <f t="shared" si="418"/>
        <v>194.8281805168285</v>
      </c>
      <c r="FQ73" s="703">
        <f t="shared" si="418"/>
        <v>791.74860899711894</v>
      </c>
      <c r="FR73" s="704">
        <f t="shared" si="418"/>
        <v>1991.82527343021</v>
      </c>
      <c r="FS73" s="704">
        <f t="shared" si="418"/>
        <v>1078.621472617612</v>
      </c>
      <c r="FT73" s="173">
        <f t="shared" si="418"/>
        <v>356.19165421807804</v>
      </c>
      <c r="FV73" s="167" t="s">
        <v>594</v>
      </c>
      <c r="FW73" s="583">
        <f t="shared" ref="FW73:GH73" si="419">FW27+FW28</f>
        <v>729.86664700000006</v>
      </c>
      <c r="FX73" s="561">
        <f t="shared" si="419"/>
        <v>340.23643700000002</v>
      </c>
      <c r="FY73" s="561">
        <f t="shared" si="419"/>
        <v>277.47334999999998</v>
      </c>
      <c r="FZ73" s="562">
        <f t="shared" si="419"/>
        <v>103.358482</v>
      </c>
      <c r="GA73" s="583">
        <f t="shared" si="419"/>
        <v>712.3576644367331</v>
      </c>
      <c r="GB73" s="561">
        <f t="shared" si="419"/>
        <v>285.11997209131033</v>
      </c>
      <c r="GC73" s="561">
        <f t="shared" si="419"/>
        <v>213.99786609605445</v>
      </c>
      <c r="GD73" s="562">
        <f t="shared" si="419"/>
        <v>78.390104192512041</v>
      </c>
      <c r="GE73" s="583">
        <f t="shared" si="419"/>
        <v>692.31757615686297</v>
      </c>
      <c r="GF73" s="561">
        <f t="shared" si="419"/>
        <v>246.90887450573899</v>
      </c>
      <c r="GG73" s="561">
        <f t="shared" si="419"/>
        <v>232.22152219141782</v>
      </c>
      <c r="GH73" s="562">
        <f t="shared" si="419"/>
        <v>73.951855840996089</v>
      </c>
      <c r="GJ73" s="167" t="s">
        <v>594</v>
      </c>
      <c r="GK73" s="561">
        <f t="shared" ref="GK73:GM73" si="420">GK27+GK28</f>
        <v>3111.9965619999998</v>
      </c>
      <c r="GL73" s="561">
        <f t="shared" si="420"/>
        <v>3096.9978896393332</v>
      </c>
      <c r="GM73" s="562">
        <f t="shared" si="420"/>
        <v>3107.00273718379</v>
      </c>
      <c r="GO73" s="167" t="s">
        <v>594</v>
      </c>
      <c r="GP73" s="583">
        <f t="shared" ref="GP73:GX73" si="421">GP27+GP28</f>
        <v>2817.50324</v>
      </c>
      <c r="GQ73" s="561">
        <f t="shared" si="421"/>
        <v>36.859887999999998</v>
      </c>
      <c r="GR73" s="562">
        <f t="shared" si="421"/>
        <v>257.63343499999996</v>
      </c>
      <c r="GS73" s="583">
        <f t="shared" si="421"/>
        <v>2700.3514254052443</v>
      </c>
      <c r="GT73" s="561">
        <f t="shared" si="421"/>
        <v>80.533867975966913</v>
      </c>
      <c r="GU73" s="562">
        <f t="shared" si="421"/>
        <v>316.1125962581221</v>
      </c>
      <c r="GV73" s="583">
        <f t="shared" si="421"/>
        <v>2695.7129767179704</v>
      </c>
      <c r="GW73" s="561">
        <f t="shared" si="421"/>
        <v>132.8360719460714</v>
      </c>
      <c r="GX73" s="562">
        <f t="shared" si="421"/>
        <v>278.45368851974899</v>
      </c>
      <c r="GZ73" s="167" t="s">
        <v>594</v>
      </c>
      <c r="HA73" s="583">
        <f t="shared" ref="HA73:HI73" si="422">HA27+HA28</f>
        <v>1313.1718169999999</v>
      </c>
      <c r="HB73" s="561">
        <f t="shared" si="422"/>
        <v>1795.136784</v>
      </c>
      <c r="HC73" s="562">
        <f t="shared" si="422"/>
        <v>3.6879609999998593</v>
      </c>
      <c r="HD73" s="583">
        <f t="shared" si="422"/>
        <v>1377.6372744576474</v>
      </c>
      <c r="HE73" s="561">
        <f t="shared" si="422"/>
        <v>1698.5224941725583</v>
      </c>
      <c r="HF73" s="562">
        <f t="shared" si="422"/>
        <v>20.83812100912769</v>
      </c>
      <c r="HG73" s="583">
        <f t="shared" si="422"/>
        <v>1334.3025804446179</v>
      </c>
      <c r="HH73" s="561">
        <f t="shared" si="422"/>
        <v>1772.700156739174</v>
      </c>
      <c r="HI73" s="562">
        <f t="shared" si="422"/>
        <v>-2.0463630789890885E-12</v>
      </c>
      <c r="HK73" s="167" t="s">
        <v>594</v>
      </c>
      <c r="HL73" s="561">
        <f t="shared" ref="HL73:HO73" si="423">HL27+HL28</f>
        <v>2817.50324</v>
      </c>
      <c r="HM73" s="561">
        <f t="shared" ref="HM73" si="424">HM27+HM28</f>
        <v>10492.9231</v>
      </c>
      <c r="HN73" s="779">
        <f t="shared" si="10"/>
        <v>3.7241920261287791</v>
      </c>
      <c r="HO73" s="583">
        <f t="shared" si="423"/>
        <v>2700.3514254052443</v>
      </c>
      <c r="HP73" s="561">
        <f t="shared" ref="HP73" si="425">HP27+HP28</f>
        <v>9692.4994539870604</v>
      </c>
      <c r="HQ73" s="779">
        <f t="shared" si="11"/>
        <v>3.5893474318930538</v>
      </c>
      <c r="HR73" s="561">
        <f>HR27+HR28</f>
        <v>2695.7129767179704</v>
      </c>
      <c r="HS73" s="561">
        <f>HS27+HS28</f>
        <v>9765.8041230063209</v>
      </c>
      <c r="HT73" s="784">
        <f t="shared" si="12"/>
        <v>3.6227165901379399</v>
      </c>
      <c r="HV73" s="167" t="s">
        <v>594</v>
      </c>
      <c r="HW73" s="583">
        <f>HW27+HW28</f>
        <v>1211.7266610000001</v>
      </c>
      <c r="HX73" s="561">
        <f>HX27+HX28</f>
        <v>5471.0522459999993</v>
      </c>
      <c r="HY73" s="790">
        <f t="shared" si="13"/>
        <v>4.5150877851320947</v>
      </c>
      <c r="HZ73" s="561">
        <f>HZ27+HZ28</f>
        <v>1602.0886169999999</v>
      </c>
      <c r="IA73" s="561">
        <f>IA27+IA28</f>
        <v>5018.1828919999998</v>
      </c>
      <c r="IB73" s="790">
        <f t="shared" si="14"/>
        <v>3.1322754801147186</v>
      </c>
      <c r="IC73" s="583">
        <f>IC27+IC28</f>
        <v>1261.3236871605391</v>
      </c>
      <c r="ID73" s="561">
        <f>ID27+ID28</f>
        <v>5536.4984468608891</v>
      </c>
      <c r="IE73" s="790">
        <f t="shared" si="15"/>
        <v>4.3894350857110425</v>
      </c>
      <c r="IF73" s="561">
        <f>IF27+IF28</f>
        <v>1418.1896172355773</v>
      </c>
      <c r="IG73" s="561">
        <f>IG27+IG28</f>
        <v>4090.3661162437752</v>
      </c>
      <c r="IH73" s="790">
        <f t="shared" si="126"/>
        <v>2.8842166565969993</v>
      </c>
      <c r="II73" s="583">
        <f>II27+II28</f>
        <v>1209.3050894824939</v>
      </c>
      <c r="IJ73" s="561">
        <f>IJ27+IJ28</f>
        <v>5319.1909725341802</v>
      </c>
      <c r="IK73" s="790">
        <f t="shared" si="17"/>
        <v>4.3985517127116838</v>
      </c>
      <c r="IL73" s="561">
        <f>IL27+IL28</f>
        <v>1486.4078872354771</v>
      </c>
      <c r="IM73" s="561">
        <f>IM27+IM28</f>
        <v>4446.6131504721507</v>
      </c>
      <c r="IN73" s="779">
        <f t="shared" si="18"/>
        <v>2.9915161165770354</v>
      </c>
      <c r="IP73" s="167" t="s">
        <v>594</v>
      </c>
      <c r="IQ73" s="583">
        <f>IQ27+IQ28</f>
        <v>138.783794</v>
      </c>
      <c r="IR73" s="561">
        <f t="shared" ref="IR73:JH73" si="426">IR27+IR28</f>
        <v>492.24643300000002</v>
      </c>
      <c r="IS73" s="561">
        <f t="shared" si="426"/>
        <v>685.89658499999996</v>
      </c>
      <c r="IT73" s="561">
        <f t="shared" si="426"/>
        <v>698.04676399999994</v>
      </c>
      <c r="IU73" s="561">
        <f t="shared" si="426"/>
        <v>802.52966399999991</v>
      </c>
      <c r="IV73" s="561">
        <f t="shared" si="426"/>
        <v>10492.9231</v>
      </c>
      <c r="IW73" s="703">
        <f t="shared" si="426"/>
        <v>167.6727841332368</v>
      </c>
      <c r="IX73" s="704">
        <f t="shared" si="426"/>
        <v>631.66423879134629</v>
      </c>
      <c r="IY73" s="704">
        <f t="shared" si="426"/>
        <v>491.13810320802196</v>
      </c>
      <c r="IZ73" s="704">
        <f t="shared" si="426"/>
        <v>718.26394896261752</v>
      </c>
      <c r="JA73" s="704">
        <f t="shared" si="426"/>
        <v>691.61235031002184</v>
      </c>
      <c r="JB73" s="173">
        <f t="shared" si="426"/>
        <v>9692.4994539870604</v>
      </c>
      <c r="JC73" s="703">
        <f t="shared" si="426"/>
        <v>156.7690947011649</v>
      </c>
      <c r="JD73" s="704">
        <f t="shared" si="426"/>
        <v>507.87367965615499</v>
      </c>
      <c r="JE73" s="704">
        <f t="shared" si="426"/>
        <v>636.98507660919404</v>
      </c>
      <c r="JF73" s="704">
        <f t="shared" si="426"/>
        <v>648.51075127774607</v>
      </c>
      <c r="JG73" s="704">
        <f t="shared" si="426"/>
        <v>745.57437447371194</v>
      </c>
      <c r="JH73" s="173">
        <f t="shared" si="426"/>
        <v>9765.8041230063209</v>
      </c>
      <c r="JJ73" s="167" t="s">
        <v>594</v>
      </c>
      <c r="JK73" s="583">
        <f t="shared" ref="JK73:JV73" si="427">JK27+JK28</f>
        <v>1557.350424</v>
      </c>
      <c r="JL73" s="561">
        <f t="shared" si="427"/>
        <v>902.839157</v>
      </c>
      <c r="JM73" s="561">
        <f t="shared" si="427"/>
        <v>130.762056</v>
      </c>
      <c r="JN73" s="562">
        <f t="shared" si="427"/>
        <v>226.551603</v>
      </c>
      <c r="JO73" s="583">
        <f t="shared" si="427"/>
        <v>1574.6371729088833</v>
      </c>
      <c r="JP73" s="561">
        <f t="shared" si="427"/>
        <v>884.56211184344738</v>
      </c>
      <c r="JQ73" s="561">
        <f t="shared" si="427"/>
        <v>62.881636078582581</v>
      </c>
      <c r="JR73" s="562">
        <f t="shared" si="427"/>
        <v>178.27050457433145</v>
      </c>
      <c r="JS73" s="583">
        <f t="shared" si="427"/>
        <v>1541.1784693253348</v>
      </c>
      <c r="JT73" s="561">
        <f t="shared" si="427"/>
        <v>868.04680190515137</v>
      </c>
      <c r="JU73" s="561">
        <f t="shared" si="427"/>
        <v>103.86469959894767</v>
      </c>
      <c r="JV73" s="562">
        <f t="shared" si="427"/>
        <v>182.62300588853691</v>
      </c>
      <c r="JX73" s="167" t="s">
        <v>594</v>
      </c>
      <c r="JY73" s="583">
        <f t="shared" ref="JY73:KB73" si="428">JY27+JY28</f>
        <v>507.25741683914794</v>
      </c>
      <c r="JZ73" s="561">
        <f t="shared" si="428"/>
        <v>649.48613277505899</v>
      </c>
      <c r="KA73" s="561">
        <f t="shared" si="428"/>
        <v>452.88599786117703</v>
      </c>
      <c r="KB73" s="562">
        <f t="shared" si="428"/>
        <v>1086.083429242587</v>
      </c>
      <c r="KC73" s="604"/>
      <c r="KD73" s="167" t="s">
        <v>594</v>
      </c>
      <c r="KE73" s="583">
        <f t="shared" ref="KE73:KV73" si="429">KE27+KE28</f>
        <v>19.123190161345299</v>
      </c>
      <c r="KF73" s="561">
        <f t="shared" si="429"/>
        <v>58.014286748098101</v>
      </c>
      <c r="KG73" s="561">
        <f t="shared" si="429"/>
        <v>796.30237017584295</v>
      </c>
      <c r="KH73" s="561">
        <f t="shared" si="429"/>
        <v>442.65250342086802</v>
      </c>
      <c r="KI73" s="561">
        <f t="shared" si="429"/>
        <v>141.33854533732071</v>
      </c>
      <c r="KJ73" s="562">
        <f t="shared" si="429"/>
        <v>16.691706992261281</v>
      </c>
      <c r="KK73" s="583">
        <f t="shared" si="429"/>
        <v>151.52971852397991</v>
      </c>
      <c r="KL73" s="561">
        <f t="shared" si="429"/>
        <v>499.43788355716902</v>
      </c>
      <c r="KM73" s="561">
        <f t="shared" si="429"/>
        <v>289.07559090444698</v>
      </c>
      <c r="KN73" s="561">
        <f t="shared" si="429"/>
        <v>136.1662320949159</v>
      </c>
      <c r="KO73" s="561">
        <f t="shared" si="429"/>
        <v>75.666069696409494</v>
      </c>
      <c r="KP73" s="562">
        <f t="shared" si="429"/>
        <v>57.429594705573699</v>
      </c>
      <c r="KQ73" s="583">
        <f t="shared" si="429"/>
        <v>170.6529086853254</v>
      </c>
      <c r="KR73" s="561">
        <f t="shared" si="429"/>
        <v>557.45217030526703</v>
      </c>
      <c r="KS73" s="561">
        <f t="shared" si="429"/>
        <v>1085.3779610802901</v>
      </c>
      <c r="KT73" s="561">
        <f t="shared" si="429"/>
        <v>578.81873551578406</v>
      </c>
      <c r="KU73" s="561">
        <f t="shared" si="429"/>
        <v>217.004615033731</v>
      </c>
      <c r="KV73" s="562">
        <f t="shared" si="429"/>
        <v>74.121301697834895</v>
      </c>
      <c r="KW73" s="429"/>
      <c r="KX73" s="167" t="s">
        <v>594</v>
      </c>
      <c r="KY73" s="583">
        <f t="shared" ref="KY73:LA73" si="430">KY27+KY28</f>
        <v>544.23296300000004</v>
      </c>
      <c r="KZ73" s="561">
        <f t="shared" si="430"/>
        <v>1694.4472289999999</v>
      </c>
      <c r="LA73" s="562">
        <f t="shared" si="430"/>
        <v>575.82305199999996</v>
      </c>
      <c r="LB73" s="583">
        <f t="shared" ref="LB73:LD73" si="431">LB27+LB28</f>
        <v>493.70196391355387</v>
      </c>
      <c r="LC73" s="561">
        <f t="shared" si="431"/>
        <v>1658.0463620007222</v>
      </c>
      <c r="LD73" s="562">
        <f t="shared" si="431"/>
        <v>551.60309714642972</v>
      </c>
      <c r="LE73" s="583">
        <f t="shared" ref="LE73:LG73" si="432">LE27+LE28</f>
        <v>628.60152825219495</v>
      </c>
      <c r="LF73" s="561">
        <f t="shared" si="432"/>
        <v>1528.286428347709</v>
      </c>
      <c r="LG73" s="562">
        <f t="shared" si="432"/>
        <v>542.82502417960598</v>
      </c>
      <c r="LH73" s="426"/>
      <c r="LI73" s="167" t="s">
        <v>594</v>
      </c>
      <c r="LJ73" s="583">
        <f t="shared" ref="LJ73:MA73" si="433">LJ27+LJ28</f>
        <v>2758.617354</v>
      </c>
      <c r="LK73" s="561">
        <f t="shared" si="433"/>
        <v>2533.9906329999999</v>
      </c>
      <c r="LL73" s="561">
        <f t="shared" si="433"/>
        <v>224.62672200000003</v>
      </c>
      <c r="LM73" s="561">
        <f t="shared" si="433"/>
        <v>554.90058799999997</v>
      </c>
      <c r="LN73" s="561">
        <f t="shared" si="433"/>
        <v>257.61977100000001</v>
      </c>
      <c r="LO73" s="562">
        <f t="shared" si="433"/>
        <v>465.40780899999999</v>
      </c>
      <c r="LP73" s="583">
        <f t="shared" si="433"/>
        <v>2707.70735679776</v>
      </c>
      <c r="LQ73" s="561">
        <f t="shared" si="433"/>
        <v>2398.2983130562793</v>
      </c>
      <c r="LR73" s="561">
        <f t="shared" si="433"/>
        <v>309.40904374148056</v>
      </c>
      <c r="LS73" s="561">
        <f t="shared" si="433"/>
        <v>495.13681353894401</v>
      </c>
      <c r="LT73" s="561">
        <f t="shared" si="433"/>
        <v>252.61362973190631</v>
      </c>
      <c r="LU73" s="562">
        <f t="shared" si="433"/>
        <v>357.95699406441872</v>
      </c>
      <c r="LV73" s="583">
        <f t="shared" si="433"/>
        <v>2558.9714907237999</v>
      </c>
      <c r="LW73" s="561">
        <f t="shared" si="433"/>
        <v>2301.0010444823652</v>
      </c>
      <c r="LX73" s="561">
        <f t="shared" si="433"/>
        <v>257.97044624144502</v>
      </c>
      <c r="LY73" s="561">
        <f t="shared" si="433"/>
        <v>484.28275392069099</v>
      </c>
      <c r="LZ73" s="561">
        <f t="shared" si="433"/>
        <v>183.7552998240609</v>
      </c>
      <c r="MA73" s="562">
        <f t="shared" si="433"/>
        <v>427.96708212137781</v>
      </c>
      <c r="MC73" s="167" t="s">
        <v>594</v>
      </c>
      <c r="MD73" s="583">
        <f t="shared" ref="MD73:MU73" si="434">MD27+MD28</f>
        <v>0</v>
      </c>
      <c r="ME73" s="561">
        <f t="shared" si="434"/>
        <v>87.531234000000012</v>
      </c>
      <c r="MF73" s="561">
        <f t="shared" si="434"/>
        <v>424.25723499999998</v>
      </c>
      <c r="MG73" s="561">
        <f t="shared" si="434"/>
        <v>892.54183899999998</v>
      </c>
      <c r="MH73" s="561">
        <f t="shared" si="434"/>
        <v>837.44927299999995</v>
      </c>
      <c r="MI73" s="562">
        <f t="shared" si="434"/>
        <v>293.21105</v>
      </c>
      <c r="MJ73" s="583">
        <f t="shared" si="434"/>
        <v>0</v>
      </c>
      <c r="MK73" s="561">
        <f t="shared" si="434"/>
        <v>106.50779848733885</v>
      </c>
      <c r="ML73" s="561">
        <f t="shared" si="434"/>
        <v>521.34446075257449</v>
      </c>
      <c r="MM73" s="561">
        <f t="shared" si="434"/>
        <v>803.06377599487473</v>
      </c>
      <c r="MN73" s="561">
        <f t="shared" si="434"/>
        <v>692.35588262448709</v>
      </c>
      <c r="MO73" s="562">
        <f t="shared" si="434"/>
        <v>283.02638894490235</v>
      </c>
      <c r="MP73" s="583">
        <f t="shared" si="434"/>
        <v>0</v>
      </c>
      <c r="MQ73" s="561">
        <f t="shared" si="434"/>
        <v>118.62388799299131</v>
      </c>
      <c r="MR73" s="561">
        <f t="shared" si="434"/>
        <v>593.50495281607402</v>
      </c>
      <c r="MS73" s="561">
        <f t="shared" si="434"/>
        <v>788.31707464732597</v>
      </c>
      <c r="MT73" s="561">
        <f t="shared" si="434"/>
        <v>605.75911501803603</v>
      </c>
      <c r="MU73" s="562">
        <f t="shared" si="434"/>
        <v>200.79602010024391</v>
      </c>
      <c r="MW73" s="167" t="s">
        <v>594</v>
      </c>
      <c r="MX73" s="583">
        <f t="shared" ref="MX73:NF73" si="435">MX27+MX28</f>
        <v>2559.7137750000002</v>
      </c>
      <c r="MY73" s="561">
        <f t="shared" si="435"/>
        <v>2350.5763940000002</v>
      </c>
      <c r="MZ73" s="561">
        <f t="shared" si="435"/>
        <v>209.137381</v>
      </c>
      <c r="NA73" s="583">
        <f t="shared" si="435"/>
        <v>2419.7860050328482</v>
      </c>
      <c r="NB73" s="561">
        <f t="shared" si="435"/>
        <v>2201.0265472971505</v>
      </c>
      <c r="NC73" s="562">
        <f t="shared" si="435"/>
        <v>218.75945773569774</v>
      </c>
      <c r="ND73" s="583">
        <f t="shared" si="435"/>
        <v>2325.2705788153462</v>
      </c>
      <c r="NE73" s="561">
        <f t="shared" si="435"/>
        <v>2069.0607779312718</v>
      </c>
      <c r="NF73" s="562">
        <f t="shared" si="435"/>
        <v>256.20980088407299</v>
      </c>
      <c r="NH73" s="167" t="s">
        <v>594</v>
      </c>
      <c r="NI73" s="583">
        <f t="shared" ref="NI73:NR73" si="436">NI27+NI28</f>
        <v>1775.4522394908324</v>
      </c>
      <c r="NJ73" s="562">
        <f t="shared" si="436"/>
        <v>425.57430780631773</v>
      </c>
      <c r="NK73" s="583">
        <f t="shared" si="436"/>
        <v>131.41437263241619</v>
      </c>
      <c r="NL73" s="561">
        <f t="shared" si="436"/>
        <v>87.345085103281548</v>
      </c>
      <c r="NM73" s="562">
        <f t="shared" si="436"/>
        <v>0</v>
      </c>
      <c r="NN73" s="583">
        <f t="shared" si="436"/>
        <v>1661.0575490176911</v>
      </c>
      <c r="NO73" s="562">
        <f t="shared" si="436"/>
        <v>408.00322891358314</v>
      </c>
      <c r="NP73" s="583">
        <f t="shared" si="436"/>
        <v>161.7723656589944</v>
      </c>
      <c r="NQ73" s="561">
        <f t="shared" si="436"/>
        <v>94.437435225078801</v>
      </c>
      <c r="NR73" s="562">
        <f t="shared" si="436"/>
        <v>0</v>
      </c>
      <c r="NS73" s="136"/>
      <c r="NT73" s="167" t="s">
        <v>594</v>
      </c>
      <c r="NU73" s="583">
        <f t="shared" ref="NU73:OB73" si="437">NU27+NU28</f>
        <v>255.97525445421013</v>
      </c>
      <c r="NV73" s="561">
        <f t="shared" si="437"/>
        <v>34.589482582012465</v>
      </c>
      <c r="NW73" s="561">
        <f t="shared" si="437"/>
        <v>21.917615846212328</v>
      </c>
      <c r="NX73" s="562">
        <f t="shared" si="437"/>
        <v>113.09195492388281</v>
      </c>
      <c r="NY73" s="583">
        <f t="shared" si="437"/>
        <v>283.0480673731318</v>
      </c>
      <c r="NZ73" s="561">
        <f t="shared" si="437"/>
        <v>20.356748924791869</v>
      </c>
      <c r="OA73" s="561">
        <f t="shared" si="437"/>
        <v>1.997836462428761</v>
      </c>
      <c r="OB73" s="562">
        <f t="shared" si="437"/>
        <v>102.60057615323069</v>
      </c>
      <c r="OC73" s="553"/>
      <c r="OD73" s="167" t="s">
        <v>594</v>
      </c>
      <c r="OE73" s="583">
        <f t="shared" ref="OE73:OR73" si="438">OE27+OE28</f>
        <v>94.43398609094271</v>
      </c>
      <c r="OF73" s="561">
        <f t="shared" si="438"/>
        <v>282.76175484463397</v>
      </c>
      <c r="OG73" s="561">
        <f t="shared" si="438"/>
        <v>180.73458656700711</v>
      </c>
      <c r="OH73" s="561">
        <f t="shared" si="438"/>
        <v>141.69425284568609</v>
      </c>
      <c r="OI73" s="561">
        <f t="shared" si="438"/>
        <v>443.08227221641698</v>
      </c>
      <c r="OJ73" s="561">
        <f t="shared" si="438"/>
        <v>92.882360275819195</v>
      </c>
      <c r="OK73" s="562">
        <f t="shared" si="438"/>
        <v>55.255321969630103</v>
      </c>
      <c r="OL73" s="583">
        <f t="shared" si="438"/>
        <v>139.5283854959153</v>
      </c>
      <c r="OM73" s="561">
        <f t="shared" si="438"/>
        <v>289.66528336621701</v>
      </c>
      <c r="ON73" s="561">
        <f t="shared" si="438"/>
        <v>184.2520301045212</v>
      </c>
      <c r="OO73" s="561">
        <f t="shared" si="438"/>
        <v>150.2426121476031</v>
      </c>
      <c r="OP73" s="561">
        <f t="shared" si="438"/>
        <v>713.50606995723706</v>
      </c>
      <c r="OQ73" s="561">
        <f t="shared" si="438"/>
        <v>446.823604935746</v>
      </c>
      <c r="OR73" s="562">
        <f t="shared" si="438"/>
        <v>3228.8150481610201</v>
      </c>
      <c r="OT73" s="167" t="s">
        <v>594</v>
      </c>
      <c r="OU73" s="583">
        <f t="shared" ref="OU73:PF73" si="439">OU27+OU28</f>
        <v>1295.455543</v>
      </c>
      <c r="OV73" s="561">
        <f t="shared" si="439"/>
        <v>923.70298600000001</v>
      </c>
      <c r="OW73" s="561">
        <f t="shared" si="439"/>
        <v>779.43478299999992</v>
      </c>
      <c r="OX73" s="562">
        <f t="shared" si="439"/>
        <v>1272.2549429999999</v>
      </c>
      <c r="OY73" s="583">
        <f t="shared" si="439"/>
        <v>874.70193123222111</v>
      </c>
      <c r="OZ73" s="561">
        <f t="shared" si="439"/>
        <v>788.58465451414827</v>
      </c>
      <c r="PA73" s="561">
        <f t="shared" si="439"/>
        <v>722.97190243091427</v>
      </c>
      <c r="PB73" s="562">
        <f t="shared" si="439"/>
        <v>1537.7382791997024</v>
      </c>
      <c r="PC73" s="583">
        <f t="shared" si="439"/>
        <v>726.01340677186158</v>
      </c>
      <c r="PD73" s="561">
        <f t="shared" si="439"/>
        <v>743.66157406307798</v>
      </c>
      <c r="PE73" s="561">
        <f t="shared" si="439"/>
        <v>742.36070896369097</v>
      </c>
      <c r="PF73" s="562">
        <f t="shared" si="439"/>
        <v>1594.437438095423</v>
      </c>
      <c r="PH73" s="167" t="s">
        <v>594</v>
      </c>
      <c r="PI73" s="583">
        <f t="shared" ref="PI73:PP73" si="440">PI27+PI28</f>
        <v>375.53772959655868</v>
      </c>
      <c r="PJ73" s="561">
        <f t="shared" si="440"/>
        <v>486.35779291423103</v>
      </c>
      <c r="PK73" s="561">
        <f t="shared" si="440"/>
        <v>381.47153464396797</v>
      </c>
      <c r="PL73" s="562">
        <f t="shared" si="440"/>
        <v>710.46801116205302</v>
      </c>
      <c r="PM73" s="583">
        <f t="shared" si="440"/>
        <v>350.47567717530302</v>
      </c>
      <c r="PN73" s="561">
        <f t="shared" si="440"/>
        <v>257.30378114884701</v>
      </c>
      <c r="PO73" s="561">
        <f t="shared" si="440"/>
        <v>360.889174319723</v>
      </c>
      <c r="PP73" s="562">
        <f t="shared" si="440"/>
        <v>883.96942693336905</v>
      </c>
      <c r="PQ73" s="65"/>
      <c r="PR73" s="169" t="s">
        <v>594</v>
      </c>
      <c r="PS73" s="1038">
        <f t="shared" ref="PS73:PW73" si="441">PS27+PS28</f>
        <v>123.42176916874931</v>
      </c>
      <c r="PT73" s="1039">
        <f t="shared" si="441"/>
        <v>258.0119186157047</v>
      </c>
      <c r="PU73" s="1039">
        <f t="shared" si="441"/>
        <v>300.54285718191397</v>
      </c>
      <c r="PV73" s="1039">
        <f t="shared" si="441"/>
        <v>27.427753607163599</v>
      </c>
      <c r="PW73" s="1039">
        <f t="shared" si="441"/>
        <v>1141.9863262037391</v>
      </c>
      <c r="PX73" s="1040">
        <f t="shared" ref="PX73" si="442">PX27+PX28</f>
        <v>479.879960130386</v>
      </c>
      <c r="PZ73" s="169" t="s">
        <v>594</v>
      </c>
      <c r="QA73" s="1038">
        <f t="shared" ref="QA73:QF73" si="443">QA27+QA28</f>
        <v>1454.0135630160798</v>
      </c>
      <c r="QB73" s="1039">
        <f t="shared" si="443"/>
        <v>871.25701579926704</v>
      </c>
      <c r="QC73" s="1039">
        <f t="shared" si="443"/>
        <v>675.97044941740398</v>
      </c>
      <c r="QD73" s="1039">
        <f t="shared" ref="QD73" si="444">QD27+QD28</f>
        <v>82.003673536447508</v>
      </c>
      <c r="QE73" s="1039">
        <f t="shared" si="443"/>
        <v>106.570902442812</v>
      </c>
      <c r="QF73" s="1040">
        <f t="shared" si="443"/>
        <v>6.7119904026036696</v>
      </c>
    </row>
    <row r="74" spans="1:448" ht="13.5" customHeight="1">
      <c r="A74" s="136"/>
      <c r="B74" s="167" t="s">
        <v>595</v>
      </c>
      <c r="C74" s="561">
        <f t="shared" ref="C74" si="445">C29+C30</f>
        <v>4190.4464340000004</v>
      </c>
      <c r="D74" s="561">
        <f t="shared" ref="D74:E74" si="446">D29+D30</f>
        <v>4464.328230992387</v>
      </c>
      <c r="E74" s="562">
        <f t="shared" si="446"/>
        <v>4695.4199724296004</v>
      </c>
      <c r="F74" s="136"/>
      <c r="G74" s="167" t="s">
        <v>595</v>
      </c>
      <c r="H74" s="318">
        <f t="shared" ref="H74:H91" si="447">(VLOOKUP($G74,$B$9:$E$91,3,FALSE)/VLOOKUP($G74,$B$9:$E$91,2,FALSE))^(1/5) -1</f>
        <v>1.2742801311169671E-2</v>
      </c>
      <c r="I74" s="668">
        <f t="shared" ref="I74:I91" si="448">(VLOOKUP($G74,$B$9:$E$91,4,FALSE)/VLOOKUP($G74,$B$9:$E$91,3,FALSE))^(1/5) -1</f>
        <v>1.0144875612017934E-2</v>
      </c>
      <c r="J74" s="612"/>
      <c r="K74" s="63"/>
      <c r="L74" s="167" t="s">
        <v>595</v>
      </c>
      <c r="M74" s="583">
        <f t="shared" ref="M74:T74" si="449">M29+M30</f>
        <v>41</v>
      </c>
      <c r="N74" s="561">
        <f t="shared" si="449"/>
        <v>67</v>
      </c>
      <c r="O74" s="561">
        <f t="shared" si="449"/>
        <v>59</v>
      </c>
      <c r="P74" s="561">
        <f t="shared" si="449"/>
        <v>68</v>
      </c>
      <c r="Q74" s="561">
        <f t="shared" si="449"/>
        <v>62</v>
      </c>
      <c r="R74" s="561">
        <f t="shared" si="449"/>
        <v>67</v>
      </c>
      <c r="S74" s="561">
        <f t="shared" si="449"/>
        <v>46</v>
      </c>
      <c r="T74" s="561">
        <f t="shared" si="449"/>
        <v>49</v>
      </c>
      <c r="U74" s="561">
        <f t="shared" ref="U74:V74" si="450">U29+U30</f>
        <v>68</v>
      </c>
      <c r="V74" s="561">
        <f t="shared" si="450"/>
        <v>44</v>
      </c>
      <c r="W74" s="562">
        <f t="shared" ref="W74" si="451">W29+W30</f>
        <v>41</v>
      </c>
      <c r="X74" s="167" t="s">
        <v>595</v>
      </c>
      <c r="Y74" s="583">
        <f t="shared" ref="Y74:AB74" si="452">Y29+Y30</f>
        <v>54</v>
      </c>
      <c r="Z74" s="561">
        <f t="shared" si="452"/>
        <v>63.5</v>
      </c>
      <c r="AA74" s="561">
        <f t="shared" si="452"/>
        <v>64.5</v>
      </c>
      <c r="AB74" s="561">
        <f t="shared" si="452"/>
        <v>47.5</v>
      </c>
      <c r="AC74" s="1206">
        <f t="shared" ref="AC74" si="453">AC29+AC30</f>
        <v>47.5</v>
      </c>
      <c r="AD74" s="336">
        <f t="shared" si="98"/>
        <v>0.17592592592592593</v>
      </c>
      <c r="AE74" s="336">
        <f t="shared" si="99"/>
        <v>1.5748031496062992E-2</v>
      </c>
      <c r="AF74" s="336">
        <f t="shared" si="100"/>
        <v>-0.26356589147286824</v>
      </c>
      <c r="AG74" s="1217">
        <f t="shared" si="101"/>
        <v>0</v>
      </c>
      <c r="AN74" s="167" t="s">
        <v>595</v>
      </c>
      <c r="AO74" s="583">
        <f t="shared" ref="AO74:AV74" si="454">AO29+AO30</f>
        <v>0</v>
      </c>
      <c r="AP74" s="561">
        <f t="shared" si="454"/>
        <v>59.800851000000002</v>
      </c>
      <c r="AQ74" s="561">
        <f t="shared" si="454"/>
        <v>144.39103299999999</v>
      </c>
      <c r="AR74" s="561">
        <f t="shared" si="454"/>
        <v>413.04871099999997</v>
      </c>
      <c r="AS74" s="561">
        <f t="shared" si="454"/>
        <v>542.271657</v>
      </c>
      <c r="AT74" s="561">
        <f t="shared" si="454"/>
        <v>405.87483499999996</v>
      </c>
      <c r="AU74" s="561">
        <f t="shared" si="454"/>
        <v>1478.198541</v>
      </c>
      <c r="AV74" s="562">
        <f t="shared" si="454"/>
        <v>576.43611099999998</v>
      </c>
      <c r="AW74" s="583">
        <f t="shared" ref="AW74:BD74" si="455">AW29+AW30</f>
        <v>0</v>
      </c>
      <c r="AX74" s="561">
        <f t="shared" si="455"/>
        <v>89.365370133500804</v>
      </c>
      <c r="AY74" s="561">
        <f t="shared" si="455"/>
        <v>108.32615882160977</v>
      </c>
      <c r="AZ74" s="561">
        <f t="shared" si="455"/>
        <v>249.85794525889639</v>
      </c>
      <c r="BA74" s="561">
        <f t="shared" si="455"/>
        <v>603.42235241217361</v>
      </c>
      <c r="BB74" s="561">
        <f t="shared" si="455"/>
        <v>381.88450571311148</v>
      </c>
      <c r="BC74" s="561">
        <f t="shared" si="455"/>
        <v>1444.5874689099046</v>
      </c>
      <c r="BD74" s="562">
        <f t="shared" si="455"/>
        <v>645.0514774904791</v>
      </c>
      <c r="BE74" s="583">
        <f t="shared" ref="BE74:BL74" si="456">BE29+BE30</f>
        <v>0</v>
      </c>
      <c r="BF74" s="561">
        <f t="shared" si="456"/>
        <v>80.19954062597651</v>
      </c>
      <c r="BG74" s="561">
        <f t="shared" si="456"/>
        <v>120.8262190869586</v>
      </c>
      <c r="BH74" s="561">
        <f t="shared" si="456"/>
        <v>392.84656824509398</v>
      </c>
      <c r="BI74" s="561">
        <f t="shared" si="456"/>
        <v>627.61156744380003</v>
      </c>
      <c r="BJ74" s="561">
        <f t="shared" si="456"/>
        <v>392.02413016522905</v>
      </c>
      <c r="BK74" s="561">
        <f t="shared" si="456"/>
        <v>1133.6023139839381</v>
      </c>
      <c r="BL74" s="562">
        <f t="shared" si="456"/>
        <v>919.2498210558</v>
      </c>
      <c r="BN74" s="167" t="s">
        <v>595</v>
      </c>
      <c r="BO74" s="583">
        <f t="shared" ref="BO74:BT74" si="457">BO29+BO30</f>
        <v>570.42469500000004</v>
      </c>
      <c r="BP74" s="561">
        <f t="shared" si="457"/>
        <v>735.74601399999995</v>
      </c>
      <c r="BQ74" s="561">
        <f t="shared" si="457"/>
        <v>640.47813500000007</v>
      </c>
      <c r="BR74" s="561">
        <f t="shared" si="457"/>
        <v>646.41245200000003</v>
      </c>
      <c r="BS74" s="561">
        <f t="shared" si="457"/>
        <v>810.04265399999997</v>
      </c>
      <c r="BT74" s="562">
        <f t="shared" si="457"/>
        <v>787.34248500000001</v>
      </c>
      <c r="BU74" s="583">
        <f t="shared" ref="BU74:BZ74" si="458">BU29+BU30</f>
        <v>941.83295225271149</v>
      </c>
      <c r="BV74" s="561">
        <f t="shared" si="458"/>
        <v>684.23545977611866</v>
      </c>
      <c r="BW74" s="561">
        <f t="shared" si="458"/>
        <v>620.29039419574838</v>
      </c>
      <c r="BX74" s="561">
        <f t="shared" si="458"/>
        <v>616.46286565871799</v>
      </c>
      <c r="BY74" s="561">
        <f t="shared" si="458"/>
        <v>722.3459317773254</v>
      </c>
      <c r="BZ74" s="562">
        <f t="shared" si="458"/>
        <v>879.16062733176545</v>
      </c>
      <c r="CA74" s="583">
        <f t="shared" ref="CA74:CF74" si="459">CA29+CA30</f>
        <v>1029.0598118228061</v>
      </c>
      <c r="CB74" s="561">
        <f t="shared" si="459"/>
        <v>1012.1014157218219</v>
      </c>
      <c r="CC74" s="561">
        <f t="shared" si="459"/>
        <v>663.88668819870395</v>
      </c>
      <c r="CD74" s="561">
        <f t="shared" si="459"/>
        <v>639.08465337616008</v>
      </c>
      <c r="CE74" s="561">
        <f t="shared" si="459"/>
        <v>574.37054837200901</v>
      </c>
      <c r="CF74" s="562">
        <f t="shared" si="459"/>
        <v>776.91685493810098</v>
      </c>
      <c r="CG74" s="429"/>
      <c r="CH74" s="167" t="s">
        <v>595</v>
      </c>
      <c r="CI74" s="583">
        <f t="shared" ref="CI74:CK74" si="460">CI29+CI30</f>
        <v>815.41293799999994</v>
      </c>
      <c r="CJ74" s="561">
        <f t="shared" si="460"/>
        <v>2089.6374180000003</v>
      </c>
      <c r="CK74" s="561">
        <f t="shared" si="460"/>
        <v>1285.396078</v>
      </c>
      <c r="CL74" s="583">
        <f t="shared" ref="CL74:CN74" si="461">CL29+CL30</f>
        <v>1173.8123068716554</v>
      </c>
      <c r="CM74" s="561">
        <f t="shared" si="461"/>
        <v>1904.1086469772863</v>
      </c>
      <c r="CN74" s="561">
        <f t="shared" si="461"/>
        <v>1386.4072771434458</v>
      </c>
      <c r="CO74" s="583">
        <f t="shared" ref="CO74:CQ74" si="462">CO29+CO30</f>
        <v>1411.1446836768212</v>
      </c>
      <c r="CP74" s="561">
        <f t="shared" si="462"/>
        <v>2106.6336019006258</v>
      </c>
      <c r="CQ74" s="562">
        <f t="shared" si="462"/>
        <v>1177.6416868521551</v>
      </c>
      <c r="CR74" s="429"/>
      <c r="DG74" s="167" t="s">
        <v>595</v>
      </c>
      <c r="DH74" s="829"/>
      <c r="DI74" s="830"/>
      <c r="DJ74" s="830"/>
      <c r="DK74" s="830"/>
      <c r="DL74" s="830"/>
      <c r="DM74" s="831"/>
      <c r="DO74" s="167" t="s">
        <v>595</v>
      </c>
      <c r="DP74" s="704">
        <f t="shared" ref="DP74:DR74" si="463">DP29+DP30</f>
        <v>2170.286791</v>
      </c>
      <c r="DQ74" s="561">
        <f t="shared" si="463"/>
        <v>2148.2925828750272</v>
      </c>
      <c r="DR74" s="562">
        <f t="shared" si="463"/>
        <v>2136.8228037036997</v>
      </c>
      <c r="DS74" s="63"/>
      <c r="DT74" s="167" t="s">
        <v>595</v>
      </c>
      <c r="DU74" s="583">
        <f t="shared" ref="DU74:DW74" si="464">DU29+DU30</f>
        <v>4190.4464340000004</v>
      </c>
      <c r="DV74" s="561">
        <f t="shared" si="464"/>
        <v>4464.328230992387</v>
      </c>
      <c r="DW74" s="562">
        <f t="shared" si="464"/>
        <v>4695.4199724296004</v>
      </c>
      <c r="DX74" s="63"/>
      <c r="DY74" s="167" t="s">
        <v>595</v>
      </c>
      <c r="DZ74" s="1092">
        <f t="shared" si="410"/>
        <v>1.9308261246289824</v>
      </c>
      <c r="EA74" s="790">
        <f t="shared" si="411"/>
        <v>2.0780820390013379</v>
      </c>
      <c r="EB74" s="779">
        <f t="shared" si="412"/>
        <v>2.1973838749245611</v>
      </c>
      <c r="ED74" s="541"/>
      <c r="EE74" s="167" t="s">
        <v>595</v>
      </c>
      <c r="EF74" s="583">
        <f t="shared" ref="EF74:EJ74" si="465">EF29+EF30</f>
        <v>968.54688299999998</v>
      </c>
      <c r="EG74" s="561">
        <f t="shared" si="465"/>
        <v>88.305318</v>
      </c>
      <c r="EH74" s="561">
        <f t="shared" si="465"/>
        <v>587.71583899999996</v>
      </c>
      <c r="EI74" s="561">
        <f t="shared" si="465"/>
        <v>337.03865999999999</v>
      </c>
      <c r="EJ74" s="561">
        <f t="shared" si="465"/>
        <v>188.680091</v>
      </c>
      <c r="EK74" s="583">
        <f t="shared" ref="EK74:EO74" si="466">EK29+EK30</f>
        <v>937.86007897312527</v>
      </c>
      <c r="EL74" s="561">
        <f t="shared" si="466"/>
        <v>84.09260844062193</v>
      </c>
      <c r="EM74" s="561">
        <f t="shared" si="466"/>
        <v>507.90447878055659</v>
      </c>
      <c r="EN74" s="561">
        <f t="shared" si="466"/>
        <v>351.15985235946289</v>
      </c>
      <c r="EO74" s="561">
        <f t="shared" si="466"/>
        <v>267.27556432126045</v>
      </c>
      <c r="EP74" s="583">
        <f t="shared" ref="EP74:ET74" si="467">EP29+EP30</f>
        <v>928.6293607312009</v>
      </c>
      <c r="EQ74" s="561">
        <f t="shared" si="467"/>
        <v>95.715425265416002</v>
      </c>
      <c r="ER74" s="561">
        <f t="shared" si="467"/>
        <v>372.045159148751</v>
      </c>
      <c r="ES74" s="561">
        <f t="shared" si="467"/>
        <v>426.19483971096702</v>
      </c>
      <c r="ET74" s="562">
        <f t="shared" si="467"/>
        <v>314.23801884736247</v>
      </c>
      <c r="EV74" s="167" t="s">
        <v>595</v>
      </c>
      <c r="EW74" s="583">
        <f t="shared" ref="EW74:FD74" si="468">EW29+EW30</f>
        <v>36.175785000000005</v>
      </c>
      <c r="EX74" s="561">
        <f t="shared" si="468"/>
        <v>224.844694</v>
      </c>
      <c r="EY74" s="561">
        <f t="shared" si="468"/>
        <v>444.18584399999997</v>
      </c>
      <c r="EZ74" s="561">
        <f t="shared" si="468"/>
        <v>263.34055899999998</v>
      </c>
      <c r="FA74" s="583">
        <f t="shared" si="468"/>
        <v>521.22239400000001</v>
      </c>
      <c r="FB74" s="561">
        <f t="shared" si="468"/>
        <v>1263.827972</v>
      </c>
      <c r="FC74" s="561">
        <f t="shared" si="468"/>
        <v>1367.30447</v>
      </c>
      <c r="FD74" s="561">
        <f t="shared" si="468"/>
        <v>467.66690499999999</v>
      </c>
      <c r="FE74" s="583">
        <f t="shared" ref="FE74:FL74" si="469">FE29+FE30</f>
        <v>55.576655562047399</v>
      </c>
      <c r="FF74" s="561">
        <f t="shared" si="469"/>
        <v>151.47008061186111</v>
      </c>
      <c r="FG74" s="561">
        <f t="shared" si="469"/>
        <v>451.40568604353757</v>
      </c>
      <c r="FH74" s="562">
        <f t="shared" si="469"/>
        <v>279.40765675567917</v>
      </c>
      <c r="FI74" s="583">
        <f t="shared" si="469"/>
        <v>458.88891339748625</v>
      </c>
      <c r="FJ74" s="561">
        <f t="shared" si="469"/>
        <v>1264.6813427471579</v>
      </c>
      <c r="FK74" s="561">
        <f t="shared" si="469"/>
        <v>1231.0225485921383</v>
      </c>
      <c r="FL74" s="562">
        <f t="shared" si="469"/>
        <v>567.90247400289331</v>
      </c>
      <c r="FM74" s="703">
        <f t="shared" ref="FM74:FT74" si="470">FM29+FM30</f>
        <v>76.933411093459995</v>
      </c>
      <c r="FN74" s="704">
        <f t="shared" si="470"/>
        <v>173.43549808626028</v>
      </c>
      <c r="FO74" s="704">
        <f t="shared" si="470"/>
        <v>368.13485295999601</v>
      </c>
      <c r="FP74" s="173">
        <f t="shared" si="470"/>
        <v>310.12559859148462</v>
      </c>
      <c r="FQ74" s="703">
        <f t="shared" si="470"/>
        <v>753.04325404011399</v>
      </c>
      <c r="FR74" s="704">
        <f t="shared" si="470"/>
        <v>1366.702451097367</v>
      </c>
      <c r="FS74" s="704">
        <f t="shared" si="470"/>
        <v>975.65666734854108</v>
      </c>
      <c r="FT74" s="173">
        <f t="shared" si="470"/>
        <v>570.95778812077401</v>
      </c>
      <c r="FV74" s="167" t="s">
        <v>595</v>
      </c>
      <c r="FW74" s="583">
        <f t="shared" ref="FW74:GH74" si="471">FW29+FW30</f>
        <v>637.54292199999998</v>
      </c>
      <c r="FX74" s="561">
        <f t="shared" si="471"/>
        <v>210.54092600000001</v>
      </c>
      <c r="FY74" s="561">
        <f t="shared" si="471"/>
        <v>188.25425799999999</v>
      </c>
      <c r="FZ74" s="562">
        <f t="shared" si="471"/>
        <v>80.984977000000001</v>
      </c>
      <c r="GA74" s="583">
        <f t="shared" si="471"/>
        <v>588.27708586836025</v>
      </c>
      <c r="GB74" s="561">
        <f t="shared" si="471"/>
        <v>204.28090281814056</v>
      </c>
      <c r="GC74" s="561">
        <f t="shared" si="471"/>
        <v>167.77197233007143</v>
      </c>
      <c r="GD74" s="562">
        <f t="shared" si="471"/>
        <v>174.00937031146429</v>
      </c>
      <c r="GE74" s="583">
        <f t="shared" si="471"/>
        <v>454.10457638288904</v>
      </c>
      <c r="GF74" s="561">
        <f t="shared" si="471"/>
        <v>234.53706439136738</v>
      </c>
      <c r="GG74" s="561">
        <f t="shared" si="471"/>
        <v>221.87538421474949</v>
      </c>
      <c r="GH74" s="562">
        <f t="shared" si="471"/>
        <v>208.82516207945216</v>
      </c>
      <c r="GJ74" s="167" t="s">
        <v>595</v>
      </c>
      <c r="GK74" s="561">
        <f t="shared" ref="GK74:GM74" si="472">GK29+GK30</f>
        <v>2350.9973520000003</v>
      </c>
      <c r="GL74" s="561">
        <f t="shared" si="472"/>
        <v>2353.498321080684</v>
      </c>
      <c r="GM74" s="562">
        <f t="shared" si="472"/>
        <v>2404.0021696956601</v>
      </c>
      <c r="GO74" s="167" t="s">
        <v>595</v>
      </c>
      <c r="GP74" s="583">
        <f t="shared" ref="GP74:GX74" si="473">GP29+GP30</f>
        <v>2170.286791</v>
      </c>
      <c r="GQ74" s="561">
        <f t="shared" si="473"/>
        <v>14.409464</v>
      </c>
      <c r="GR74" s="562">
        <f t="shared" si="473"/>
        <v>166.301097</v>
      </c>
      <c r="GS74" s="583">
        <f t="shared" si="473"/>
        <v>2148.2925828750272</v>
      </c>
      <c r="GT74" s="561">
        <f t="shared" si="473"/>
        <v>11.849634868785035</v>
      </c>
      <c r="GU74" s="562">
        <f t="shared" si="473"/>
        <v>193.35610333687171</v>
      </c>
      <c r="GV74" s="583">
        <f t="shared" si="473"/>
        <v>2136.8228037036997</v>
      </c>
      <c r="GW74" s="561">
        <f t="shared" si="473"/>
        <v>32.137785256349332</v>
      </c>
      <c r="GX74" s="562">
        <f t="shared" si="473"/>
        <v>235.04158073561169</v>
      </c>
      <c r="GZ74" s="167" t="s">
        <v>595</v>
      </c>
      <c r="HA74" s="583">
        <f t="shared" ref="HA74:HI74" si="474">HA29+HA30</f>
        <v>10.263303000000001</v>
      </c>
      <c r="HB74" s="561">
        <f t="shared" si="474"/>
        <v>2331.336843</v>
      </c>
      <c r="HC74" s="562">
        <f t="shared" si="474"/>
        <v>9.3972060000000965</v>
      </c>
      <c r="HD74" s="583">
        <f t="shared" si="474"/>
        <v>9.0828047306464939</v>
      </c>
      <c r="HE74" s="561">
        <f t="shared" si="474"/>
        <v>2333.8950515210436</v>
      </c>
      <c r="HF74" s="562">
        <f t="shared" si="474"/>
        <v>10.520464828993909</v>
      </c>
      <c r="HG74" s="583">
        <f t="shared" si="474"/>
        <v>3.9881491952268049</v>
      </c>
      <c r="HH74" s="561">
        <f t="shared" si="474"/>
        <v>2396.0674349803398</v>
      </c>
      <c r="HI74" s="562">
        <f t="shared" si="474"/>
        <v>3.9465855200935493</v>
      </c>
      <c r="HK74" s="167" t="s">
        <v>595</v>
      </c>
      <c r="HL74" s="561">
        <f t="shared" ref="HL74:HO74" si="475">HL29+HL30</f>
        <v>2170.286791</v>
      </c>
      <c r="HM74" s="561">
        <f t="shared" ref="HM74" si="476">HM29+HM30</f>
        <v>8749.0944199999994</v>
      </c>
      <c r="HN74" s="779">
        <f t="shared" ref="HN74:HN91" si="477">HM74/HL74</f>
        <v>4.031307961824111</v>
      </c>
      <c r="HO74" s="583">
        <f t="shared" si="475"/>
        <v>2148.2925828750272</v>
      </c>
      <c r="HP74" s="561">
        <f t="shared" ref="HP74" si="478">HP29+HP30</f>
        <v>8442.7592146430452</v>
      </c>
      <c r="HQ74" s="779">
        <f t="shared" ref="HQ74:HQ91" si="479">HP74/HO74</f>
        <v>3.9299857393466535</v>
      </c>
      <c r="HR74" s="561">
        <f>HR29+HR30</f>
        <v>2136.8228037036997</v>
      </c>
      <c r="HS74" s="561">
        <f>HS29+HS30</f>
        <v>8590.1811134927593</v>
      </c>
      <c r="HT74" s="784">
        <f t="shared" ref="HT74:HT91" si="480">HS74/HR74</f>
        <v>4.0200718087637499</v>
      </c>
      <c r="HV74" s="167" t="s">
        <v>595</v>
      </c>
      <c r="HW74" s="583">
        <f>HW29+HW30</f>
        <v>10.263303000000001</v>
      </c>
      <c r="HX74" s="561">
        <f>HX29+HX30</f>
        <v>57.055717000000001</v>
      </c>
      <c r="HY74" s="790">
        <f t="shared" ref="HY74:HY91" si="481">HX74/HW74</f>
        <v>5.5591963912592268</v>
      </c>
      <c r="HZ74" s="561">
        <f>HZ29+HZ30</f>
        <v>2150.6262820000002</v>
      </c>
      <c r="IA74" s="561">
        <f>IA29+IA30</f>
        <v>8657.9649339999996</v>
      </c>
      <c r="IB74" s="790">
        <f t="shared" ref="IB74:IB91" si="482">IA74/HZ74</f>
        <v>4.0257877467899368</v>
      </c>
      <c r="IC74" s="583">
        <f>IC29+IC30</f>
        <v>8.1497183873297132</v>
      </c>
      <c r="ID74" s="561">
        <f>ID29+ID30</f>
        <v>39.723455289875595</v>
      </c>
      <c r="IE74" s="790">
        <f t="shared" ref="IE74:IE91" si="483">ID74/IC74</f>
        <v>4.8742120159186433</v>
      </c>
      <c r="IF74" s="561">
        <f>IF29+IF30</f>
        <v>2131.4885723453367</v>
      </c>
      <c r="IG74" s="561">
        <f>IG29+IG30</f>
        <v>8376.5598396951282</v>
      </c>
      <c r="IH74" s="790">
        <f t="shared" si="126"/>
        <v>3.9299107433065728</v>
      </c>
      <c r="II74" s="583">
        <f>II29+II30</f>
        <v>3.0015035665741099</v>
      </c>
      <c r="IJ74" s="561">
        <f>IJ29+IJ30</f>
        <v>18.009021399444698</v>
      </c>
      <c r="IK74" s="790">
        <f t="shared" ref="IK74:IK91" si="484">IJ74/II74</f>
        <v>6.0000000000000133</v>
      </c>
      <c r="IL74" s="561">
        <f>IL29+IL30</f>
        <v>2130.8613602456899</v>
      </c>
      <c r="IM74" s="561">
        <f>IM29+IM30</f>
        <v>8569.2121522018788</v>
      </c>
      <c r="IN74" s="779">
        <f t="shared" ref="IN74:IN91" si="485">IM74/IL74</f>
        <v>4.0214780332840814</v>
      </c>
      <c r="IP74" s="167" t="s">
        <v>595</v>
      </c>
      <c r="IQ74" s="583">
        <f>IQ29+IQ30</f>
        <v>50.711886</v>
      </c>
      <c r="IR74" s="561">
        <f t="shared" ref="IR74:JH74" si="486">IR29+IR30</f>
        <v>102.69091800000001</v>
      </c>
      <c r="IS74" s="561">
        <f t="shared" si="486"/>
        <v>389.37940900000001</v>
      </c>
      <c r="IT74" s="561">
        <f t="shared" si="486"/>
        <v>965.65508199999999</v>
      </c>
      <c r="IU74" s="561">
        <f t="shared" si="486"/>
        <v>661.84949700000004</v>
      </c>
      <c r="IV74" s="561">
        <f t="shared" si="486"/>
        <v>8749.0944199999994</v>
      </c>
      <c r="IW74" s="703">
        <f t="shared" si="486"/>
        <v>55.550885151033171</v>
      </c>
      <c r="IX74" s="704">
        <f t="shared" si="486"/>
        <v>134.2219415574267</v>
      </c>
      <c r="IY74" s="704">
        <f t="shared" si="486"/>
        <v>493.46908226521111</v>
      </c>
      <c r="IZ74" s="704">
        <f t="shared" si="486"/>
        <v>860.79817313771287</v>
      </c>
      <c r="JA74" s="704">
        <f t="shared" si="486"/>
        <v>604.25250076364341</v>
      </c>
      <c r="JB74" s="173">
        <f t="shared" si="486"/>
        <v>8442.7592146430452</v>
      </c>
      <c r="JC74" s="703">
        <f t="shared" si="486"/>
        <v>37.428787220559798</v>
      </c>
      <c r="JD74" s="704">
        <f t="shared" si="486"/>
        <v>105.12762677801788</v>
      </c>
      <c r="JE74" s="704">
        <f t="shared" si="486"/>
        <v>471.56669547461001</v>
      </c>
      <c r="JF74" s="704">
        <f t="shared" si="486"/>
        <v>797.89390282345494</v>
      </c>
      <c r="JG74" s="704">
        <f t="shared" si="486"/>
        <v>724.80579140705402</v>
      </c>
      <c r="JH74" s="173">
        <f t="shared" si="486"/>
        <v>8590.1811134927593</v>
      </c>
      <c r="JJ74" s="167" t="s">
        <v>595</v>
      </c>
      <c r="JK74" s="583">
        <f t="shared" ref="JK74:JV74" si="487">JK29+JK30</f>
        <v>896.68918799999994</v>
      </c>
      <c r="JL74" s="561">
        <f t="shared" si="487"/>
        <v>372.533188</v>
      </c>
      <c r="JM74" s="561">
        <f t="shared" si="487"/>
        <v>877.32555400000001</v>
      </c>
      <c r="JN74" s="562">
        <f t="shared" si="487"/>
        <v>23.738862000000001</v>
      </c>
      <c r="JO74" s="583">
        <f t="shared" si="487"/>
        <v>894.27751308373433</v>
      </c>
      <c r="JP74" s="561">
        <f t="shared" si="487"/>
        <v>333.55476028984049</v>
      </c>
      <c r="JQ74" s="561">
        <f t="shared" si="487"/>
        <v>903.97079562183251</v>
      </c>
      <c r="JR74" s="562">
        <f t="shared" si="487"/>
        <v>16.489513879619789</v>
      </c>
      <c r="JS74" s="583">
        <f t="shared" si="487"/>
        <v>823.47460506089158</v>
      </c>
      <c r="JT74" s="561">
        <f t="shared" si="487"/>
        <v>431.26978304898239</v>
      </c>
      <c r="JU74" s="561">
        <f t="shared" si="487"/>
        <v>859.52076697529765</v>
      </c>
      <c r="JV74" s="562">
        <f t="shared" si="487"/>
        <v>22.55764861852726</v>
      </c>
      <c r="JX74" s="167" t="s">
        <v>595</v>
      </c>
      <c r="JY74" s="583">
        <f t="shared" ref="JY74:KB74" si="488">JY29+JY30</f>
        <v>272.26115050465899</v>
      </c>
      <c r="JZ74" s="561">
        <f t="shared" si="488"/>
        <v>497.71060983285599</v>
      </c>
      <c r="KA74" s="561">
        <f t="shared" si="488"/>
        <v>395.71853006774097</v>
      </c>
      <c r="KB74" s="562">
        <f t="shared" si="488"/>
        <v>971.13251329844093</v>
      </c>
      <c r="KC74" s="604"/>
      <c r="KD74" s="167" t="s">
        <v>595</v>
      </c>
      <c r="KE74" s="583">
        <f t="shared" ref="KE74:KV74" si="489">KE29+KE30</f>
        <v>22.695448416453349</v>
      </c>
      <c r="KF74" s="561">
        <f t="shared" si="489"/>
        <v>55.462638096697603</v>
      </c>
      <c r="KG74" s="561">
        <f t="shared" si="489"/>
        <v>1626.0359187795721</v>
      </c>
      <c r="KH74" s="561">
        <f t="shared" si="489"/>
        <v>318.37971399137803</v>
      </c>
      <c r="KI74" s="561">
        <f t="shared" si="489"/>
        <v>29.018220479750802</v>
      </c>
      <c r="KJ74" s="562">
        <f t="shared" si="489"/>
        <v>72.351959506140403</v>
      </c>
      <c r="KK74" s="583">
        <f t="shared" si="489"/>
        <v>0</v>
      </c>
      <c r="KL74" s="561">
        <f t="shared" si="489"/>
        <v>3.0015035665741099</v>
      </c>
      <c r="KM74" s="561">
        <f t="shared" si="489"/>
        <v>0</v>
      </c>
      <c r="KN74" s="561">
        <f t="shared" si="489"/>
        <v>0</v>
      </c>
      <c r="KO74" s="561">
        <f t="shared" si="489"/>
        <v>0</v>
      </c>
      <c r="KP74" s="562">
        <f t="shared" si="489"/>
        <v>0</v>
      </c>
      <c r="KQ74" s="583">
        <f t="shared" si="489"/>
        <v>22.695448416453349</v>
      </c>
      <c r="KR74" s="561">
        <f t="shared" si="489"/>
        <v>58.464141663271697</v>
      </c>
      <c r="KS74" s="561">
        <f t="shared" si="489"/>
        <v>1628.0092120405279</v>
      </c>
      <c r="KT74" s="561">
        <f t="shared" si="489"/>
        <v>318.37971399137803</v>
      </c>
      <c r="KU74" s="561">
        <f t="shared" si="489"/>
        <v>29.018220479750802</v>
      </c>
      <c r="KV74" s="562">
        <f t="shared" si="489"/>
        <v>72.351959506140403</v>
      </c>
      <c r="KW74" s="429"/>
      <c r="KX74" s="167" t="s">
        <v>595</v>
      </c>
      <c r="KY74" s="583">
        <f t="shared" ref="KY74:LA74" si="490">KY29+KY30</f>
        <v>517.04279000000008</v>
      </c>
      <c r="KZ74" s="561">
        <f t="shared" si="490"/>
        <v>1270.7447950000001</v>
      </c>
      <c r="LA74" s="562">
        <f t="shared" si="490"/>
        <v>382.49920599999996</v>
      </c>
      <c r="LB74" s="583">
        <f t="shared" ref="LB74:LD74" si="491">LB29+LB30</f>
        <v>572.44666053773358</v>
      </c>
      <c r="LC74" s="561">
        <f t="shared" si="491"/>
        <v>1268.467162501526</v>
      </c>
      <c r="LD74" s="562">
        <f t="shared" si="491"/>
        <v>307.3787598357676</v>
      </c>
      <c r="LE74" s="583">
        <f t="shared" ref="LE74:LG74" si="492">LE29+LE30</f>
        <v>541.29625563935599</v>
      </c>
      <c r="LF74" s="561">
        <f t="shared" si="492"/>
        <v>1241.1709210290219</v>
      </c>
      <c r="LG74" s="562">
        <f t="shared" si="492"/>
        <v>354.35562703532196</v>
      </c>
      <c r="LH74" s="426"/>
      <c r="LI74" s="167" t="s">
        <v>595</v>
      </c>
      <c r="LJ74" s="583">
        <f t="shared" ref="LJ74:MA74" si="493">LJ29+LJ30</f>
        <v>1574.582504</v>
      </c>
      <c r="LK74" s="561">
        <f t="shared" si="493"/>
        <v>1314.257304</v>
      </c>
      <c r="LL74" s="561">
        <f t="shared" si="493"/>
        <v>260.3252</v>
      </c>
      <c r="LM74" s="561">
        <f t="shared" si="493"/>
        <v>300.39782400000001</v>
      </c>
      <c r="LN74" s="561">
        <f t="shared" si="493"/>
        <v>273.92868799999997</v>
      </c>
      <c r="LO74" s="562">
        <f t="shared" si="493"/>
        <v>185.716646</v>
      </c>
      <c r="LP74" s="583">
        <f t="shared" si="493"/>
        <v>1486.2695457478505</v>
      </c>
      <c r="LQ74" s="561">
        <f t="shared" si="493"/>
        <v>1096.6483368764275</v>
      </c>
      <c r="LR74" s="561">
        <f t="shared" si="493"/>
        <v>389.62120887142305</v>
      </c>
      <c r="LS74" s="561">
        <f t="shared" si="493"/>
        <v>258.10431691279786</v>
      </c>
      <c r="LT74" s="561">
        <f t="shared" si="493"/>
        <v>130.25095690428645</v>
      </c>
      <c r="LU74" s="562">
        <f t="shared" si="493"/>
        <v>261.46318203129533</v>
      </c>
      <c r="LV74" s="583">
        <f t="shared" si="493"/>
        <v>1682.951816553435</v>
      </c>
      <c r="LW74" s="561">
        <f t="shared" si="493"/>
        <v>1291.3688602416989</v>
      </c>
      <c r="LX74" s="561">
        <f t="shared" si="493"/>
        <v>391.5829563117386</v>
      </c>
      <c r="LY74" s="561">
        <f t="shared" si="493"/>
        <v>452.11170721352596</v>
      </c>
      <c r="LZ74" s="561">
        <f t="shared" si="493"/>
        <v>81.970494954214004</v>
      </c>
      <c r="MA74" s="562">
        <f t="shared" si="493"/>
        <v>271.68445503346169</v>
      </c>
      <c r="MC74" s="167" t="s">
        <v>595</v>
      </c>
      <c r="MD74" s="583">
        <f t="shared" ref="MD74:MU74" si="494">MD29+MD30</f>
        <v>0</v>
      </c>
      <c r="ME74" s="561">
        <f t="shared" si="494"/>
        <v>56.104092000000001</v>
      </c>
      <c r="MF74" s="561">
        <f t="shared" si="494"/>
        <v>121.25017699999999</v>
      </c>
      <c r="MG74" s="561">
        <f t="shared" si="494"/>
        <v>369.59610700000002</v>
      </c>
      <c r="MH74" s="561">
        <f t="shared" si="494"/>
        <v>456.07930499999998</v>
      </c>
      <c r="MI74" s="562">
        <f t="shared" si="494"/>
        <v>311.22762299999999</v>
      </c>
      <c r="MJ74" s="583">
        <f t="shared" si="494"/>
        <v>0</v>
      </c>
      <c r="MK74" s="561">
        <f t="shared" si="494"/>
        <v>80.341614633420818</v>
      </c>
      <c r="ML74" s="561">
        <f t="shared" si="494"/>
        <v>98.218218173409142</v>
      </c>
      <c r="MM74" s="561">
        <f t="shared" si="494"/>
        <v>206.13627432090092</v>
      </c>
      <c r="MN74" s="561">
        <f t="shared" si="494"/>
        <v>449.30656643930661</v>
      </c>
      <c r="MO74" s="562">
        <f t="shared" si="494"/>
        <v>262.6456633093901</v>
      </c>
      <c r="MP74" s="583">
        <f t="shared" si="494"/>
        <v>0</v>
      </c>
      <c r="MQ74" s="561">
        <f t="shared" si="494"/>
        <v>64.559444407543708</v>
      </c>
      <c r="MR74" s="561">
        <f t="shared" si="494"/>
        <v>107.51331339987699</v>
      </c>
      <c r="MS74" s="561">
        <f t="shared" si="494"/>
        <v>309.79702453262496</v>
      </c>
      <c r="MT74" s="561">
        <f t="shared" si="494"/>
        <v>491.019951482858</v>
      </c>
      <c r="MU74" s="562">
        <f t="shared" si="494"/>
        <v>318.4791264187956</v>
      </c>
      <c r="MW74" s="167" t="s">
        <v>595</v>
      </c>
      <c r="MX74" s="583">
        <f t="shared" ref="MX74:NF74" si="495">MX29+MX30</f>
        <v>1324.536885</v>
      </c>
      <c r="MY74" s="561">
        <f t="shared" si="495"/>
        <v>1230.401106</v>
      </c>
      <c r="MZ74" s="561">
        <f t="shared" si="495"/>
        <v>94.135778000000002</v>
      </c>
      <c r="NA74" s="583">
        <f t="shared" si="495"/>
        <v>1112.723046754563</v>
      </c>
      <c r="NB74" s="561">
        <f t="shared" si="495"/>
        <v>1003.1348033631343</v>
      </c>
      <c r="NC74" s="562">
        <f t="shared" si="495"/>
        <v>109.58824339142882</v>
      </c>
      <c r="ND74" s="583">
        <f t="shared" si="495"/>
        <v>1314.9012871042928</v>
      </c>
      <c r="NE74" s="561">
        <f t="shared" si="495"/>
        <v>1208.2814945679199</v>
      </c>
      <c r="NF74" s="562">
        <f t="shared" si="495"/>
        <v>106.6197925363729</v>
      </c>
      <c r="NH74" s="167" t="s">
        <v>595</v>
      </c>
      <c r="NI74" s="583">
        <f t="shared" ref="NI74:NR74" si="496">NI29+NI30</f>
        <v>816.37727700168512</v>
      </c>
      <c r="NJ74" s="562">
        <f t="shared" si="496"/>
        <v>186.7575263614491</v>
      </c>
      <c r="NK74" s="583">
        <f t="shared" si="496"/>
        <v>74.551689833437763</v>
      </c>
      <c r="NL74" s="561">
        <f t="shared" si="496"/>
        <v>35.036553557991056</v>
      </c>
      <c r="NM74" s="562">
        <f t="shared" si="496"/>
        <v>0</v>
      </c>
      <c r="NN74" s="583">
        <f t="shared" si="496"/>
        <v>831.81849973348301</v>
      </c>
      <c r="NO74" s="562">
        <f t="shared" si="496"/>
        <v>376.46299483443619</v>
      </c>
      <c r="NP74" s="583">
        <f t="shared" si="496"/>
        <v>85.356162309629809</v>
      </c>
      <c r="NQ74" s="561">
        <f t="shared" si="496"/>
        <v>21.263630226743111</v>
      </c>
      <c r="NR74" s="562">
        <f t="shared" si="496"/>
        <v>0</v>
      </c>
      <c r="NS74" s="136"/>
      <c r="NT74" s="167" t="s">
        <v>595</v>
      </c>
      <c r="NU74" s="583">
        <f t="shared" ref="NU74:OB74" si="497">NU29+NU30</f>
        <v>113.18237458910963</v>
      </c>
      <c r="NV74" s="561">
        <f t="shared" si="497"/>
        <v>26.09610618187908</v>
      </c>
      <c r="NW74" s="561">
        <f t="shared" si="497"/>
        <v>7.9994358667565901</v>
      </c>
      <c r="NX74" s="562">
        <f t="shared" si="497"/>
        <v>39.479609723703817</v>
      </c>
      <c r="NY74" s="583">
        <f t="shared" si="497"/>
        <v>213.52897983421008</v>
      </c>
      <c r="NZ74" s="561">
        <f t="shared" si="497"/>
        <v>78.248900683496274</v>
      </c>
      <c r="OA74" s="561">
        <f t="shared" si="497"/>
        <v>24.029101321951799</v>
      </c>
      <c r="OB74" s="562">
        <f t="shared" si="497"/>
        <v>60.656012994777996</v>
      </c>
      <c r="OC74" s="553"/>
      <c r="OD74" s="167" t="s">
        <v>595</v>
      </c>
      <c r="OE74" s="583">
        <f t="shared" ref="OE74:OR74" si="498">OE29+OE30</f>
        <v>226.1228806506987</v>
      </c>
      <c r="OF74" s="561">
        <f t="shared" si="498"/>
        <v>320.54175987032897</v>
      </c>
      <c r="OG74" s="561">
        <f t="shared" si="498"/>
        <v>262.51734016163448</v>
      </c>
      <c r="OH74" s="561">
        <f t="shared" si="498"/>
        <v>196.05974957438519</v>
      </c>
      <c r="OI74" s="561">
        <f t="shared" si="498"/>
        <v>349.74051980596198</v>
      </c>
      <c r="OJ74" s="561">
        <f t="shared" si="498"/>
        <v>40.588451056592405</v>
      </c>
      <c r="OK74" s="562">
        <f t="shared" si="498"/>
        <v>61.908553261206805</v>
      </c>
      <c r="OL74" s="583">
        <f t="shared" si="498"/>
        <v>278.86467421780583</v>
      </c>
      <c r="OM74" s="561">
        <f t="shared" si="498"/>
        <v>351.69166603741877</v>
      </c>
      <c r="ON74" s="561">
        <f t="shared" si="498"/>
        <v>283.39935717293901</v>
      </c>
      <c r="OO74" s="561">
        <f t="shared" si="498"/>
        <v>199.4756531310812</v>
      </c>
      <c r="OP74" s="561">
        <f t="shared" si="498"/>
        <v>553.56760090903299</v>
      </c>
      <c r="OQ74" s="561">
        <f t="shared" si="498"/>
        <v>259.05816168170799</v>
      </c>
      <c r="OR74" s="562">
        <f t="shared" si="498"/>
        <v>2654.2587448849699</v>
      </c>
      <c r="OT74" s="167" t="s">
        <v>595</v>
      </c>
      <c r="OU74" s="583">
        <f t="shared" ref="OU74:PF74" si="499">OU29+OU30</f>
        <v>1300.169101</v>
      </c>
      <c r="OV74" s="561">
        <f t="shared" si="499"/>
        <v>728.93045400000005</v>
      </c>
      <c r="OW74" s="561">
        <f t="shared" si="499"/>
        <v>531.63813099999993</v>
      </c>
      <c r="OX74" s="562">
        <f t="shared" si="499"/>
        <v>642.7896760000001</v>
      </c>
      <c r="OY74" s="583">
        <f t="shared" si="499"/>
        <v>1277.5506565418302</v>
      </c>
      <c r="OZ74" s="561">
        <f t="shared" si="499"/>
        <v>740.18625683977029</v>
      </c>
      <c r="PA74" s="561">
        <f t="shared" si="499"/>
        <v>548.96511011740347</v>
      </c>
      <c r="PB74" s="562">
        <f t="shared" si="499"/>
        <v>582.48896349123083</v>
      </c>
      <c r="PC74" s="583">
        <f t="shared" si="499"/>
        <v>902.75527702727754</v>
      </c>
      <c r="PD74" s="561">
        <f t="shared" si="499"/>
        <v>703.98835834344504</v>
      </c>
      <c r="PE74" s="561">
        <f t="shared" si="499"/>
        <v>553.90732574904905</v>
      </c>
      <c r="PF74" s="562">
        <f t="shared" si="499"/>
        <v>857.41192578887853</v>
      </c>
      <c r="PH74" s="167" t="s">
        <v>595</v>
      </c>
      <c r="PI74" s="583">
        <f t="shared" ref="PI74:PP74" si="500">PI29+PI30</f>
        <v>285.46835430460999</v>
      </c>
      <c r="PJ74" s="561">
        <f t="shared" si="500"/>
        <v>337.05434265202297</v>
      </c>
      <c r="PK74" s="561">
        <f t="shared" si="500"/>
        <v>243.75325394354761</v>
      </c>
      <c r="PL74" s="562">
        <f t="shared" si="500"/>
        <v>358.78836730928674</v>
      </c>
      <c r="PM74" s="583">
        <f t="shared" si="500"/>
        <v>617.28692272266835</v>
      </c>
      <c r="PN74" s="561">
        <f t="shared" si="500"/>
        <v>366.93401569142202</v>
      </c>
      <c r="PO74" s="561">
        <f t="shared" si="500"/>
        <v>310.15407180550199</v>
      </c>
      <c r="PP74" s="562">
        <f t="shared" si="500"/>
        <v>498.62355847959236</v>
      </c>
      <c r="PQ74" s="65"/>
      <c r="PR74" s="169" t="s">
        <v>595</v>
      </c>
      <c r="PS74" s="1038">
        <f t="shared" ref="PS74:PW74" si="501">PS29+PS30</f>
        <v>12.794454253307199</v>
      </c>
      <c r="PT74" s="1039">
        <f t="shared" si="501"/>
        <v>70.29415617980311</v>
      </c>
      <c r="PU74" s="1039">
        <f t="shared" si="501"/>
        <v>51.995780386350802</v>
      </c>
      <c r="PV74" s="1039">
        <f t="shared" si="501"/>
        <v>12.12340360805835</v>
      </c>
      <c r="PW74" s="1039">
        <f t="shared" si="501"/>
        <v>718.32938279888299</v>
      </c>
      <c r="PX74" s="1040">
        <f t="shared" ref="PX74" si="502">PX29+PX30</f>
        <v>449.36410987788906</v>
      </c>
      <c r="PZ74" s="169" t="s">
        <v>595</v>
      </c>
      <c r="QA74" s="1038">
        <f t="shared" ref="QA74:QF74" si="503">QA29+QA30</f>
        <v>841.78226371725805</v>
      </c>
      <c r="QB74" s="1039">
        <f t="shared" si="503"/>
        <v>473.11902338703402</v>
      </c>
      <c r="QC74" s="1039">
        <f t="shared" si="503"/>
        <v>395.06267038923698</v>
      </c>
      <c r="QD74" s="1039">
        <f t="shared" ref="QD74" si="504">QD29+QD30</f>
        <v>20.30696066689994</v>
      </c>
      <c r="QE74" s="1039">
        <f t="shared" si="503"/>
        <v>54.309933489185994</v>
      </c>
      <c r="QF74" s="1040">
        <f t="shared" si="503"/>
        <v>3.4394588417116601</v>
      </c>
    </row>
    <row r="75" spans="1:448" ht="13.5" customHeight="1">
      <c r="A75" s="136"/>
      <c r="B75" s="167" t="s">
        <v>596</v>
      </c>
      <c r="C75" s="561">
        <f t="shared" ref="C75" si="505">C31+C32+C33+C34</f>
        <v>9151.552936</v>
      </c>
      <c r="D75" s="561">
        <f t="shared" ref="D75:E75" si="506">D31+D32+D33+D34</f>
        <v>8895.8369409554325</v>
      </c>
      <c r="E75" s="562">
        <f t="shared" si="506"/>
        <v>8682.1633920435706</v>
      </c>
      <c r="F75" s="136"/>
      <c r="G75" s="167" t="s">
        <v>596</v>
      </c>
      <c r="H75" s="318">
        <f t="shared" si="447"/>
        <v>-5.6520023551096532E-3</v>
      </c>
      <c r="I75" s="668">
        <f t="shared" si="448"/>
        <v>-4.8507313244446904E-3</v>
      </c>
      <c r="J75" s="612"/>
      <c r="K75" s="63"/>
      <c r="L75" s="167" t="s">
        <v>596</v>
      </c>
      <c r="M75" s="583">
        <f t="shared" ref="M75:T75" si="507">M31+M32+M33+M34</f>
        <v>102</v>
      </c>
      <c r="N75" s="561">
        <f t="shared" si="507"/>
        <v>100</v>
      </c>
      <c r="O75" s="561">
        <f t="shared" si="507"/>
        <v>78</v>
      </c>
      <c r="P75" s="561">
        <f t="shared" si="507"/>
        <v>100</v>
      </c>
      <c r="Q75" s="561">
        <f t="shared" si="507"/>
        <v>85</v>
      </c>
      <c r="R75" s="561">
        <f t="shared" si="507"/>
        <v>92</v>
      </c>
      <c r="S75" s="561">
        <f t="shared" si="507"/>
        <v>97</v>
      </c>
      <c r="T75" s="561">
        <f t="shared" si="507"/>
        <v>79</v>
      </c>
      <c r="U75" s="561">
        <f t="shared" ref="U75:V75" si="508">U31+U32+U33+U34</f>
        <v>83</v>
      </c>
      <c r="V75" s="561">
        <f t="shared" si="508"/>
        <v>86</v>
      </c>
      <c r="W75" s="562">
        <f t="shared" ref="W75" si="509">W31+W32+W33+W34</f>
        <v>87</v>
      </c>
      <c r="X75" s="167" t="s">
        <v>596</v>
      </c>
      <c r="Y75" s="583">
        <f t="shared" ref="Y75:AB75" si="510">Y31+Y32+Y33+Y34</f>
        <v>101</v>
      </c>
      <c r="Z75" s="561">
        <f t="shared" si="510"/>
        <v>89</v>
      </c>
      <c r="AA75" s="561">
        <f t="shared" si="510"/>
        <v>88.5</v>
      </c>
      <c r="AB75" s="561">
        <f t="shared" si="510"/>
        <v>88</v>
      </c>
      <c r="AC75" s="1206">
        <f t="shared" ref="AC75" si="511">AC31+AC32+AC33+AC34</f>
        <v>88</v>
      </c>
      <c r="AD75" s="336">
        <f t="shared" si="98"/>
        <v>-0.11881188118811881</v>
      </c>
      <c r="AE75" s="336">
        <f t="shared" si="99"/>
        <v>-5.6179775280898875E-3</v>
      </c>
      <c r="AF75" s="336">
        <f t="shared" si="100"/>
        <v>-5.6497175141242938E-3</v>
      </c>
      <c r="AG75" s="1217">
        <f t="shared" si="101"/>
        <v>0</v>
      </c>
      <c r="AN75" s="167" t="s">
        <v>596</v>
      </c>
      <c r="AO75" s="583">
        <f t="shared" ref="AO75:AV75" si="512">AO31+AO32+AO33+AO34</f>
        <v>0</v>
      </c>
      <c r="AP75" s="561">
        <f t="shared" si="512"/>
        <v>154.40717000000001</v>
      </c>
      <c r="AQ75" s="561">
        <f t="shared" si="512"/>
        <v>1063.495805</v>
      </c>
      <c r="AR75" s="561">
        <f t="shared" si="512"/>
        <v>1436.5277230000002</v>
      </c>
      <c r="AS75" s="561">
        <f t="shared" si="512"/>
        <v>1148.145657</v>
      </c>
      <c r="AT75" s="561">
        <f t="shared" si="512"/>
        <v>721.72764199999995</v>
      </c>
      <c r="AU75" s="561">
        <f t="shared" si="512"/>
        <v>2057.85482</v>
      </c>
      <c r="AV75" s="562">
        <f t="shared" si="512"/>
        <v>1522.8443339999999</v>
      </c>
      <c r="AW75" s="583">
        <f t="shared" ref="AW75:BD75" si="513">AW31+AW32+AW33+AW34</f>
        <v>5.4557994498015097</v>
      </c>
      <c r="AX75" s="561">
        <f t="shared" si="513"/>
        <v>192.29923281198398</v>
      </c>
      <c r="AY75" s="561">
        <f t="shared" si="513"/>
        <v>1246.0927598092842</v>
      </c>
      <c r="AZ75" s="561">
        <f t="shared" si="513"/>
        <v>1436.9231573304946</v>
      </c>
      <c r="BA75" s="561">
        <f t="shared" si="513"/>
        <v>1048.7067839902115</v>
      </c>
      <c r="BB75" s="561">
        <f t="shared" si="513"/>
        <v>501.23005095875305</v>
      </c>
      <c r="BC75" s="561">
        <f t="shared" si="513"/>
        <v>1945.3559839350687</v>
      </c>
      <c r="BD75" s="562">
        <f t="shared" si="513"/>
        <v>1316.6112579944006</v>
      </c>
      <c r="BE75" s="583">
        <f t="shared" ref="BE75:BL75" si="514">BE31+BE32+BE33+BE34</f>
        <v>6.3517051660353401</v>
      </c>
      <c r="BF75" s="561">
        <f t="shared" si="514"/>
        <v>131.42387655851101</v>
      </c>
      <c r="BG75" s="561">
        <f t="shared" si="514"/>
        <v>1388.138830857554</v>
      </c>
      <c r="BH75" s="561">
        <f t="shared" si="514"/>
        <v>1378.7504030207451</v>
      </c>
      <c r="BI75" s="561">
        <f t="shared" si="514"/>
        <v>1015.7265431814581</v>
      </c>
      <c r="BJ75" s="561">
        <f t="shared" si="514"/>
        <v>454.36478706888977</v>
      </c>
      <c r="BK75" s="561">
        <f t="shared" si="514"/>
        <v>1927.8259482512158</v>
      </c>
      <c r="BL75" s="562">
        <f t="shared" si="514"/>
        <v>1307.522523999801</v>
      </c>
      <c r="BN75" s="167" t="s">
        <v>596</v>
      </c>
      <c r="BO75" s="583">
        <f t="shared" ref="BO75:BT75" si="515">BO31+BO32+BO33+BO34</f>
        <v>1048.5497829999999</v>
      </c>
      <c r="BP75" s="561">
        <f t="shared" si="515"/>
        <v>2733.4601499999999</v>
      </c>
      <c r="BQ75" s="561">
        <f t="shared" si="515"/>
        <v>1612.7918549999999</v>
      </c>
      <c r="BR75" s="561">
        <f t="shared" si="515"/>
        <v>1607.8761299999999</v>
      </c>
      <c r="BS75" s="561">
        <f t="shared" si="515"/>
        <v>1021.866606</v>
      </c>
      <c r="BT75" s="562">
        <f t="shared" si="515"/>
        <v>1127.008413</v>
      </c>
      <c r="BU75" s="583">
        <f t="shared" ref="BU75:BZ75" si="516">BU31+BU32+BU33+BU34</f>
        <v>1204.1619138939225</v>
      </c>
      <c r="BV75" s="561">
        <f t="shared" si="516"/>
        <v>2312.1101969769129</v>
      </c>
      <c r="BW75" s="561">
        <f t="shared" si="516"/>
        <v>1778.3102883969832</v>
      </c>
      <c r="BX75" s="561">
        <f t="shared" si="516"/>
        <v>1471.0906594683238</v>
      </c>
      <c r="BY75" s="561">
        <f t="shared" si="516"/>
        <v>1225.9907302704764</v>
      </c>
      <c r="BZ75" s="562">
        <f t="shared" si="516"/>
        <v>904.17315194881417</v>
      </c>
      <c r="CA75" s="583">
        <f t="shared" ref="CA75:CF75" si="517">CA31+CA32+CA33+CA34</f>
        <v>1073.058774954751</v>
      </c>
      <c r="CB75" s="561">
        <f t="shared" si="517"/>
        <v>2246.7404975611939</v>
      </c>
      <c r="CC75" s="561">
        <f t="shared" si="517"/>
        <v>1667.7633461325408</v>
      </c>
      <c r="CD75" s="561">
        <f t="shared" si="517"/>
        <v>1483.477477410637</v>
      </c>
      <c r="CE75" s="561">
        <f t="shared" si="517"/>
        <v>1258.8683729398401</v>
      </c>
      <c r="CF75" s="562">
        <f t="shared" si="517"/>
        <v>952.25492304461295</v>
      </c>
      <c r="CG75" s="429"/>
      <c r="CH75" s="167" t="s">
        <v>596</v>
      </c>
      <c r="CI75" s="583">
        <f t="shared" ref="CI75:CK75" si="518">CI31+CI32+CI33+CI34</f>
        <v>1748.2224670000001</v>
      </c>
      <c r="CJ75" s="561">
        <f t="shared" si="518"/>
        <v>5679.0261099999998</v>
      </c>
      <c r="CK75" s="561">
        <f t="shared" si="518"/>
        <v>1724.3043600000001</v>
      </c>
      <c r="CL75" s="583">
        <f t="shared" ref="CL75:CN75" si="519">CL31+CL32+CL33+CL34</f>
        <v>1800.9382789296569</v>
      </c>
      <c r="CM75" s="561">
        <f t="shared" si="519"/>
        <v>5511.6186322502144</v>
      </c>
      <c r="CN75" s="561">
        <f t="shared" si="519"/>
        <v>1583.2800297755628</v>
      </c>
      <c r="CO75" s="583">
        <f t="shared" ref="CO75:CQ75" si="520">CO31+CO32+CO33+CO34</f>
        <v>1742.462740814072</v>
      </c>
      <c r="CP75" s="561">
        <f t="shared" si="520"/>
        <v>5118.0275119748003</v>
      </c>
      <c r="CQ75" s="562">
        <f t="shared" si="520"/>
        <v>1821.6731392547081</v>
      </c>
      <c r="CR75" s="429"/>
      <c r="DG75" s="167" t="s">
        <v>596</v>
      </c>
      <c r="DH75" s="829"/>
      <c r="DI75" s="830"/>
      <c r="DJ75" s="830"/>
      <c r="DK75" s="830"/>
      <c r="DL75" s="830"/>
      <c r="DM75" s="831"/>
      <c r="DO75" s="167" t="s">
        <v>596</v>
      </c>
      <c r="DP75" s="704">
        <f t="shared" ref="DP75:DR75" si="521">DP31+DP32+DP33+DP34</f>
        <v>5410.3309549999994</v>
      </c>
      <c r="DQ75" s="561">
        <f t="shared" si="521"/>
        <v>5192.1560994363026</v>
      </c>
      <c r="DR75" s="562">
        <f t="shared" si="521"/>
        <v>5255.9757329382001</v>
      </c>
      <c r="DS75" s="63"/>
      <c r="DT75" s="167" t="s">
        <v>596</v>
      </c>
      <c r="DU75" s="583">
        <f t="shared" ref="DU75:DW75" si="522">DU31+DU32+DU33+DU34</f>
        <v>9111.5529849999984</v>
      </c>
      <c r="DV75" s="561">
        <f t="shared" si="522"/>
        <v>8856.8369714344299</v>
      </c>
      <c r="DW75" s="562">
        <f t="shared" si="522"/>
        <v>8636.1633453358609</v>
      </c>
      <c r="DX75" s="63"/>
      <c r="DY75" s="167" t="s">
        <v>596</v>
      </c>
      <c r="DZ75" s="1092">
        <f t="shared" si="410"/>
        <v>1.6841027029186608</v>
      </c>
      <c r="EA75" s="790">
        <f t="shared" si="411"/>
        <v>1.7058109967833963</v>
      </c>
      <c r="EB75" s="779">
        <f t="shared" si="412"/>
        <v>1.6431132455986561</v>
      </c>
      <c r="ED75" s="541"/>
      <c r="EE75" s="167" t="s">
        <v>596</v>
      </c>
      <c r="EF75" s="583">
        <f t="shared" ref="EF75:EJ75" si="523">EF31+EF32+EF33+EF34</f>
        <v>3067.240652</v>
      </c>
      <c r="EG75" s="561">
        <f t="shared" si="523"/>
        <v>165.03699799999998</v>
      </c>
      <c r="EH75" s="561">
        <f t="shared" si="523"/>
        <v>1202.97235</v>
      </c>
      <c r="EI75" s="561">
        <f t="shared" si="523"/>
        <v>684.28522100000009</v>
      </c>
      <c r="EJ75" s="561">
        <f t="shared" si="523"/>
        <v>290.79573399999998</v>
      </c>
      <c r="EK75" s="583">
        <f t="shared" ref="EK75:EO75" si="524">EK31+EK32+EK33+EK34</f>
        <v>2887.7761229768844</v>
      </c>
      <c r="EL75" s="561">
        <f t="shared" si="524"/>
        <v>177.41853422661114</v>
      </c>
      <c r="EM75" s="561">
        <f t="shared" si="524"/>
        <v>1140.3767328670071</v>
      </c>
      <c r="EN75" s="561">
        <f t="shared" si="524"/>
        <v>640.95599734749339</v>
      </c>
      <c r="EO75" s="561">
        <f t="shared" si="524"/>
        <v>345.62871201830677</v>
      </c>
      <c r="EP75" s="583">
        <f t="shared" ref="EP75:ET75" si="525">EP31+EP32+EP33+EP34</f>
        <v>3137.377829901066</v>
      </c>
      <c r="EQ75" s="561">
        <f t="shared" si="525"/>
        <v>139.65031569333701</v>
      </c>
      <c r="ER75" s="561">
        <f t="shared" si="525"/>
        <v>1047.3496301874229</v>
      </c>
      <c r="ES75" s="561">
        <f t="shared" si="525"/>
        <v>622.77421109644115</v>
      </c>
      <c r="ET75" s="562">
        <f t="shared" si="525"/>
        <v>308.8237460599367</v>
      </c>
      <c r="EV75" s="167" t="s">
        <v>596</v>
      </c>
      <c r="EW75" s="583">
        <f t="shared" ref="EW75:FD75" si="526">EW31+EW32+EW33+EW34</f>
        <v>809.82171000000005</v>
      </c>
      <c r="EX75" s="561">
        <f t="shared" si="526"/>
        <v>1004.950653</v>
      </c>
      <c r="EY75" s="561">
        <f t="shared" si="526"/>
        <v>785.84315200000003</v>
      </c>
      <c r="EZ75" s="561">
        <f t="shared" si="526"/>
        <v>464.62513999999999</v>
      </c>
      <c r="FA75" s="583">
        <f t="shared" si="526"/>
        <v>1839.68921</v>
      </c>
      <c r="FB75" s="561">
        <f t="shared" si="526"/>
        <v>3476.7607209999996</v>
      </c>
      <c r="FC75" s="561">
        <f t="shared" si="526"/>
        <v>1993.9929149999998</v>
      </c>
      <c r="FD75" s="561">
        <f t="shared" si="526"/>
        <v>752.56035399999996</v>
      </c>
      <c r="FE75" s="583">
        <f t="shared" ref="FE75:FL75" si="527">FE31+FE32+FE33+FE34</f>
        <v>770.56142739709003</v>
      </c>
      <c r="FF75" s="561">
        <f t="shared" si="527"/>
        <v>1024.1316927787982</v>
      </c>
      <c r="FG75" s="561">
        <f t="shared" si="527"/>
        <v>737.32875057486092</v>
      </c>
      <c r="FH75" s="562">
        <f t="shared" si="527"/>
        <v>355.75425222613524</v>
      </c>
      <c r="FI75" s="583">
        <f t="shared" si="527"/>
        <v>1617.4012899805957</v>
      </c>
      <c r="FJ75" s="561">
        <f t="shared" si="527"/>
        <v>3403.3503156545135</v>
      </c>
      <c r="FK75" s="561">
        <f t="shared" si="527"/>
        <v>2020.246838473256</v>
      </c>
      <c r="FL75" s="562">
        <f t="shared" si="527"/>
        <v>611.67661343214229</v>
      </c>
      <c r="FM75" s="703">
        <f t="shared" ref="FM75:FT75" si="528">FM31+FM32+FM33+FM34</f>
        <v>838.68322505602464</v>
      </c>
      <c r="FN75" s="704">
        <f t="shared" si="528"/>
        <v>1076.2424424448909</v>
      </c>
      <c r="FO75" s="704">
        <f t="shared" si="528"/>
        <v>777.29048099465695</v>
      </c>
      <c r="FP75" s="173">
        <f t="shared" si="528"/>
        <v>447.16168343626646</v>
      </c>
      <c r="FQ75" s="703">
        <f t="shared" si="528"/>
        <v>1585.4516813761052</v>
      </c>
      <c r="FR75" s="704">
        <f t="shared" si="528"/>
        <v>3299.3804701310078</v>
      </c>
      <c r="FS75" s="704">
        <f t="shared" si="528"/>
        <v>2019.096340007907</v>
      </c>
      <c r="FT75" s="173">
        <f t="shared" si="528"/>
        <v>661.17608089686303</v>
      </c>
      <c r="FV75" s="167" t="s">
        <v>596</v>
      </c>
      <c r="FW75" s="583">
        <f t="shared" ref="FW75:GH75" si="529">FW31+FW32+FW33+FW34</f>
        <v>1263.023782</v>
      </c>
      <c r="FX75" s="561">
        <f t="shared" si="529"/>
        <v>462.91107800000003</v>
      </c>
      <c r="FY75" s="561">
        <f t="shared" si="529"/>
        <v>349.208394</v>
      </c>
      <c r="FZ75" s="562">
        <f t="shared" si="529"/>
        <v>107.572856</v>
      </c>
      <c r="GA75" s="583">
        <f t="shared" si="529"/>
        <v>1199.9992871324334</v>
      </c>
      <c r="GB75" s="561">
        <f t="shared" si="529"/>
        <v>452.219120567782</v>
      </c>
      <c r="GC75" s="561">
        <f t="shared" si="529"/>
        <v>346.19457290616288</v>
      </c>
      <c r="GD75" s="562">
        <f t="shared" si="529"/>
        <v>135.85136784897389</v>
      </c>
      <c r="GE75" s="583">
        <f t="shared" si="529"/>
        <v>1111.5520936515279</v>
      </c>
      <c r="GF75" s="561">
        <f t="shared" si="529"/>
        <v>412.65074660954491</v>
      </c>
      <c r="GG75" s="561">
        <f t="shared" si="529"/>
        <v>365.31460346397768</v>
      </c>
      <c r="GH75" s="562">
        <f t="shared" si="529"/>
        <v>96.586673238402881</v>
      </c>
      <c r="GJ75" s="167" t="s">
        <v>596</v>
      </c>
      <c r="GK75" s="561">
        <f t="shared" ref="GK75:GM75" si="530">GK31+GK32+GK33+GK34</f>
        <v>5940.4934000000012</v>
      </c>
      <c r="GL75" s="561">
        <f t="shared" si="530"/>
        <v>5967.4959422607317</v>
      </c>
      <c r="GM75" s="562">
        <f t="shared" si="530"/>
        <v>6191.4012433012203</v>
      </c>
      <c r="GO75" s="167" t="s">
        <v>596</v>
      </c>
      <c r="GP75" s="583">
        <f t="shared" ref="GP75:GX75" si="531">GP31+GP32+GP33+GP34</f>
        <v>5409.3309559999998</v>
      </c>
      <c r="GQ75" s="561">
        <f t="shared" si="531"/>
        <v>102.30598499999999</v>
      </c>
      <c r="GR75" s="562">
        <f t="shared" si="531"/>
        <v>428.85645900000003</v>
      </c>
      <c r="GS75" s="583">
        <f t="shared" si="531"/>
        <v>5192.1560994363026</v>
      </c>
      <c r="GT75" s="561">
        <f t="shared" si="531"/>
        <v>144.42965973922654</v>
      </c>
      <c r="GU75" s="562">
        <f t="shared" si="531"/>
        <v>630.91018308520324</v>
      </c>
      <c r="GV75" s="583">
        <f t="shared" si="531"/>
        <v>5257.9757349689698</v>
      </c>
      <c r="GW75" s="561">
        <f t="shared" si="531"/>
        <v>296.5956630138345</v>
      </c>
      <c r="GX75" s="562">
        <f t="shared" si="531"/>
        <v>636.82984531841601</v>
      </c>
      <c r="GZ75" s="167" t="s">
        <v>596</v>
      </c>
      <c r="HA75" s="583">
        <f t="shared" ref="HA75:HI75" si="532">HA31+HA32+HA33+HA34</f>
        <v>1842.6711319999999</v>
      </c>
      <c r="HB75" s="561">
        <f t="shared" si="532"/>
        <v>3955.520704</v>
      </c>
      <c r="HC75" s="562">
        <f t="shared" si="532"/>
        <v>142.30156399999987</v>
      </c>
      <c r="HD75" s="583">
        <f t="shared" si="532"/>
        <v>1927.6505661119286</v>
      </c>
      <c r="HE75" s="561">
        <f t="shared" si="532"/>
        <v>4010.3661170208893</v>
      </c>
      <c r="HF75" s="562">
        <f t="shared" si="532"/>
        <v>29.479259127914474</v>
      </c>
      <c r="HG75" s="583">
        <f t="shared" si="532"/>
        <v>1687.9968968848232</v>
      </c>
      <c r="HH75" s="561">
        <f t="shared" si="532"/>
        <v>4382.0063562043269</v>
      </c>
      <c r="HI75" s="562">
        <f t="shared" si="532"/>
        <v>121.39799021207068</v>
      </c>
      <c r="HK75" s="167" t="s">
        <v>596</v>
      </c>
      <c r="HL75" s="561">
        <f t="shared" ref="HL75:HO75" si="533">HL31+HL32+HL33+HL34</f>
        <v>5409.3309559999998</v>
      </c>
      <c r="HM75" s="561">
        <f t="shared" ref="HM75" si="534">HM31+HM32+HM33+HM34</f>
        <v>17049.917569000001</v>
      </c>
      <c r="HN75" s="779">
        <f t="shared" si="477"/>
        <v>3.1519457226199714</v>
      </c>
      <c r="HO75" s="583">
        <f t="shared" si="533"/>
        <v>5192.1560994363026</v>
      </c>
      <c r="HP75" s="561">
        <f t="shared" ref="HP75" si="535">HP31+HP32+HP33+HP34</f>
        <v>16524.729180409067</v>
      </c>
      <c r="HQ75" s="779">
        <f t="shared" si="479"/>
        <v>3.1826333538398641</v>
      </c>
      <c r="HR75" s="561">
        <f>HR31+HR32+HR33+HR34</f>
        <v>5257.9757349689698</v>
      </c>
      <c r="HS75" s="561">
        <f>HS31+HS32+HS33+HS34</f>
        <v>16471.861498819781</v>
      </c>
      <c r="HT75" s="784">
        <f t="shared" si="480"/>
        <v>3.1327382112608761</v>
      </c>
      <c r="HV75" s="167" t="s">
        <v>596</v>
      </c>
      <c r="HW75" s="583">
        <f>HW31+HW32+HW33+HW34</f>
        <v>1758.9512530000002</v>
      </c>
      <c r="HX75" s="561">
        <f>HX31+HX32+HX33+HX34</f>
        <v>8277.6396480000003</v>
      </c>
      <c r="HY75" s="790">
        <f t="shared" si="481"/>
        <v>4.7060085570205397</v>
      </c>
      <c r="HZ75" s="561">
        <f>HZ31+HZ32+HZ33+HZ34</f>
        <v>3524.4244280000003</v>
      </c>
      <c r="IA75" s="561">
        <f>IA31+IA32+IA33+IA34</f>
        <v>8605.1810100000002</v>
      </c>
      <c r="IB75" s="790">
        <f t="shared" si="482"/>
        <v>2.4415847710155525</v>
      </c>
      <c r="IC75" s="583">
        <f>IC31+IC32+IC33+IC34</f>
        <v>1804.7261184660733</v>
      </c>
      <c r="ID75" s="561">
        <f>ID31+ID32+ID33+ID34</f>
        <v>8341.9410329616567</v>
      </c>
      <c r="IE75" s="790">
        <f t="shared" si="483"/>
        <v>4.6222753400676044</v>
      </c>
      <c r="IF75" s="561">
        <f>IF31+IF32+IF33+IF34</f>
        <v>3357.950721842315</v>
      </c>
      <c r="IG75" s="561">
        <f>IG31+IG32+IG33+IG34</f>
        <v>8149.2799078182379</v>
      </c>
      <c r="IH75" s="790">
        <f t="shared" si="126"/>
        <v>2.4268610777430335</v>
      </c>
      <c r="II75" s="583">
        <f>II31+II32+II33+II34</f>
        <v>1555.8626403063561</v>
      </c>
      <c r="IJ75" s="561">
        <f>IJ31+IJ32+IJ33+IJ34</f>
        <v>7466.9248640549995</v>
      </c>
      <c r="IK75" s="790">
        <f t="shared" si="484"/>
        <v>4.7992185624977344</v>
      </c>
      <c r="IL75" s="561">
        <f>IL31+IL32+IL33+IL34</f>
        <v>3688.0444559863845</v>
      </c>
      <c r="IM75" s="561">
        <f>IM31+IM32+IM33+IM34</f>
        <v>8990.8679960885202</v>
      </c>
      <c r="IN75" s="779">
        <f t="shared" si="485"/>
        <v>2.4378415454007514</v>
      </c>
      <c r="IP75" s="167" t="s">
        <v>596</v>
      </c>
      <c r="IQ75" s="583">
        <f>IQ31+IQ32+IQ33+IQ34</f>
        <v>890.12325199999998</v>
      </c>
      <c r="IR75" s="561">
        <f t="shared" ref="IR75:JH75" si="536">IR31+IR32+IR33+IR34</f>
        <v>1193.899283</v>
      </c>
      <c r="IS75" s="561">
        <f t="shared" si="536"/>
        <v>1397.487603</v>
      </c>
      <c r="IT75" s="561">
        <f t="shared" si="536"/>
        <v>962.24287900000002</v>
      </c>
      <c r="IU75" s="561">
        <f t="shared" si="536"/>
        <v>965.57793800000013</v>
      </c>
      <c r="IV75" s="561">
        <f t="shared" si="536"/>
        <v>17049.917569000001</v>
      </c>
      <c r="IW75" s="703">
        <f t="shared" si="536"/>
        <v>715.19287590490444</v>
      </c>
      <c r="IX75" s="704">
        <f t="shared" si="536"/>
        <v>1325.5155012583496</v>
      </c>
      <c r="IY75" s="704">
        <f t="shared" si="536"/>
        <v>1256.4086027186067</v>
      </c>
      <c r="IZ75" s="704">
        <f t="shared" si="536"/>
        <v>843.93279950400768</v>
      </c>
      <c r="JA75" s="704">
        <f t="shared" si="536"/>
        <v>1051.1063200504345</v>
      </c>
      <c r="JB75" s="173">
        <f t="shared" si="536"/>
        <v>16524.729180409067</v>
      </c>
      <c r="JC75" s="703">
        <f t="shared" si="536"/>
        <v>847.56121446174006</v>
      </c>
      <c r="JD75" s="704">
        <f t="shared" si="536"/>
        <v>1274.579230889354</v>
      </c>
      <c r="JE75" s="704">
        <f t="shared" si="536"/>
        <v>1255.766959924925</v>
      </c>
      <c r="JF75" s="704">
        <f t="shared" si="536"/>
        <v>917.65218514881894</v>
      </c>
      <c r="JG75" s="704">
        <f t="shared" si="536"/>
        <v>962.41614454413707</v>
      </c>
      <c r="JH75" s="173">
        <f t="shared" si="536"/>
        <v>16471.861498819781</v>
      </c>
      <c r="JJ75" s="167" t="s">
        <v>596</v>
      </c>
      <c r="JK75" s="583">
        <f t="shared" ref="JK75:JV75" si="537">JK31+JK32+JK33+JK34</f>
        <v>2127.3107449999998</v>
      </c>
      <c r="JL75" s="561">
        <f t="shared" si="537"/>
        <v>2395.8996859999997</v>
      </c>
      <c r="JM75" s="561">
        <f t="shared" si="537"/>
        <v>797.89661899999999</v>
      </c>
      <c r="JN75" s="562">
        <f t="shared" si="537"/>
        <v>88.223905999999999</v>
      </c>
      <c r="JO75" s="583">
        <f t="shared" si="537"/>
        <v>2317.1732363495667</v>
      </c>
      <c r="JP75" s="561">
        <f t="shared" si="537"/>
        <v>2163.2040743990792</v>
      </c>
      <c r="JQ75" s="561">
        <f t="shared" si="537"/>
        <v>649.44290880134702</v>
      </c>
      <c r="JR75" s="562">
        <f t="shared" si="537"/>
        <v>62.33587988630979</v>
      </c>
      <c r="JS75" s="583">
        <f t="shared" si="537"/>
        <v>2237.8272246997631</v>
      </c>
      <c r="JT75" s="561">
        <f t="shared" si="537"/>
        <v>2514.4009973694638</v>
      </c>
      <c r="JU75" s="561">
        <f t="shared" si="537"/>
        <v>432.08287763483315</v>
      </c>
      <c r="JV75" s="562">
        <f t="shared" si="537"/>
        <v>73.664635264915304</v>
      </c>
      <c r="JX75" s="167" t="s">
        <v>596</v>
      </c>
      <c r="JY75" s="583">
        <f t="shared" ref="JY75:KB75" si="538">JY31+JY32+JY33+JY34</f>
        <v>1291.003281389269</v>
      </c>
      <c r="JZ75" s="561">
        <f t="shared" si="538"/>
        <v>1376.1007035284501</v>
      </c>
      <c r="KA75" s="561">
        <f t="shared" si="538"/>
        <v>746.97766299018497</v>
      </c>
      <c r="KB75" s="562">
        <f t="shared" si="538"/>
        <v>1843.8940870610718</v>
      </c>
      <c r="KC75" s="604"/>
      <c r="KD75" s="167" t="s">
        <v>596</v>
      </c>
      <c r="KE75" s="583">
        <f t="shared" ref="KE75:KV75" si="539">KE31+KE32+KE33+KE34</f>
        <v>88.641446097027199</v>
      </c>
      <c r="KF75" s="561">
        <f t="shared" si="539"/>
        <v>330.47856965467793</v>
      </c>
      <c r="KG75" s="561">
        <f t="shared" si="539"/>
        <v>1085.909406320086</v>
      </c>
      <c r="KH75" s="561">
        <f t="shared" si="539"/>
        <v>1307.6735877702665</v>
      </c>
      <c r="KI75" s="561">
        <f t="shared" si="539"/>
        <v>701.61141522751734</v>
      </c>
      <c r="KJ75" s="562">
        <f t="shared" si="539"/>
        <v>144.69263666390168</v>
      </c>
      <c r="KK75" s="583">
        <f t="shared" si="539"/>
        <v>393.52187315629334</v>
      </c>
      <c r="KL75" s="561">
        <f t="shared" si="539"/>
        <v>578.69933092053805</v>
      </c>
      <c r="KM75" s="561">
        <f t="shared" si="539"/>
        <v>374.66968001169511</v>
      </c>
      <c r="KN75" s="561">
        <f t="shared" si="539"/>
        <v>110.16631357590043</v>
      </c>
      <c r="KO75" s="561">
        <f t="shared" si="539"/>
        <v>63.358364020163435</v>
      </c>
      <c r="KP75" s="562">
        <f t="shared" si="539"/>
        <v>29.393721469191778</v>
      </c>
      <c r="KQ75" s="583">
        <f t="shared" si="539"/>
        <v>482.16331925331963</v>
      </c>
      <c r="KR75" s="561">
        <f t="shared" si="539"/>
        <v>909.17790057521495</v>
      </c>
      <c r="KS75" s="561">
        <f t="shared" si="539"/>
        <v>1460.5790863317809</v>
      </c>
      <c r="KT75" s="561">
        <f t="shared" si="539"/>
        <v>1418.82287102291</v>
      </c>
      <c r="KU75" s="561">
        <f t="shared" si="539"/>
        <v>778.05544824717515</v>
      </c>
      <c r="KV75" s="562">
        <f t="shared" si="539"/>
        <v>174.08635813309348</v>
      </c>
      <c r="KW75" s="429"/>
      <c r="KX75" s="167" t="s">
        <v>596</v>
      </c>
      <c r="KY75" s="583">
        <f t="shared" ref="KY75:LA75" si="540">KY31+KY32+KY33+KY34</f>
        <v>1681.5708629999997</v>
      </c>
      <c r="KZ75" s="561">
        <f t="shared" si="540"/>
        <v>2962.9701150000001</v>
      </c>
      <c r="LA75" s="562">
        <f t="shared" si="540"/>
        <v>765.78997700000002</v>
      </c>
      <c r="LB75" s="583">
        <f t="shared" ref="LB75:LD75" si="541">LB31+LB32+LB33+LB34</f>
        <v>1529.0239376294442</v>
      </c>
      <c r="LC75" s="561">
        <f t="shared" si="541"/>
        <v>2805.9663799241252</v>
      </c>
      <c r="LD75" s="562">
        <f t="shared" si="541"/>
        <v>857.16578188273354</v>
      </c>
      <c r="LE75" s="583">
        <f t="shared" ref="LE75:LG75" si="542">LE31+LE32+LE33+LE34</f>
        <v>1652.6943352161841</v>
      </c>
      <c r="LF75" s="561">
        <f t="shared" si="542"/>
        <v>2786.7246946686582</v>
      </c>
      <c r="LG75" s="562">
        <f t="shared" si="542"/>
        <v>816.55670305335798</v>
      </c>
      <c r="LH75" s="426"/>
      <c r="LI75" s="167" t="s">
        <v>596</v>
      </c>
      <c r="LJ75" s="583">
        <f t="shared" ref="LJ75:MA75" si="543">LJ31+LJ32+LJ33+LJ34</f>
        <v>4545.7992020000002</v>
      </c>
      <c r="LK75" s="561">
        <f t="shared" si="543"/>
        <v>4076.4631140000001</v>
      </c>
      <c r="LL75" s="561">
        <f t="shared" si="543"/>
        <v>469.33608800000007</v>
      </c>
      <c r="LM75" s="561">
        <f t="shared" si="543"/>
        <v>1126.903869</v>
      </c>
      <c r="LN75" s="561">
        <f t="shared" si="543"/>
        <v>426.46719400000006</v>
      </c>
      <c r="LO75" s="562">
        <f t="shared" si="543"/>
        <v>279.52852800000005</v>
      </c>
      <c r="LP75" s="583">
        <f t="shared" si="543"/>
        <v>4438.2841294694299</v>
      </c>
      <c r="LQ75" s="561">
        <f t="shared" si="543"/>
        <v>3950.5231003254194</v>
      </c>
      <c r="LR75" s="561">
        <f t="shared" si="543"/>
        <v>487.76102914401167</v>
      </c>
      <c r="LS75" s="561">
        <f t="shared" si="543"/>
        <v>952.85951451020787</v>
      </c>
      <c r="LT75" s="561">
        <f t="shared" si="543"/>
        <v>432.84891792232685</v>
      </c>
      <c r="LU75" s="562">
        <f t="shared" si="543"/>
        <v>284.40243538398261</v>
      </c>
      <c r="LV75" s="583">
        <f t="shared" si="543"/>
        <v>4384.0815928554493</v>
      </c>
      <c r="LW75" s="561">
        <f t="shared" si="543"/>
        <v>3807.1355026903902</v>
      </c>
      <c r="LX75" s="561">
        <f t="shared" si="543"/>
        <v>576.94609016504739</v>
      </c>
      <c r="LY75" s="561">
        <f t="shared" si="543"/>
        <v>957.07868117939506</v>
      </c>
      <c r="LZ75" s="561">
        <f t="shared" si="543"/>
        <v>233.41817486534978</v>
      </c>
      <c r="MA75" s="562">
        <f t="shared" si="543"/>
        <v>212.8530289339312</v>
      </c>
      <c r="MC75" s="167" t="s">
        <v>596</v>
      </c>
      <c r="MD75" s="583">
        <f t="shared" ref="MD75:MU75" si="544">MD31+MD32+MD33+MD34</f>
        <v>0</v>
      </c>
      <c r="ME75" s="561">
        <f t="shared" si="544"/>
        <v>127.79953</v>
      </c>
      <c r="MF75" s="561">
        <f t="shared" si="544"/>
        <v>1027.4575450000002</v>
      </c>
      <c r="MG75" s="561">
        <f t="shared" si="544"/>
        <v>1317.9924040000001</v>
      </c>
      <c r="MH75" s="561">
        <f t="shared" si="544"/>
        <v>988.28834800000004</v>
      </c>
      <c r="MI75" s="562">
        <f t="shared" si="544"/>
        <v>612.92529000000002</v>
      </c>
      <c r="MJ75" s="583">
        <f t="shared" si="544"/>
        <v>2.0252104320215798</v>
      </c>
      <c r="MK75" s="561">
        <f t="shared" si="544"/>
        <v>176.60353799331403</v>
      </c>
      <c r="ML75" s="561">
        <f t="shared" si="544"/>
        <v>1191.291480743082</v>
      </c>
      <c r="MM75" s="561">
        <f t="shared" si="544"/>
        <v>1280.8973196461743</v>
      </c>
      <c r="MN75" s="561">
        <f t="shared" si="544"/>
        <v>864.39933281089111</v>
      </c>
      <c r="MO75" s="562">
        <f t="shared" si="544"/>
        <v>430.30622260749914</v>
      </c>
      <c r="MP75" s="583">
        <f t="shared" si="544"/>
        <v>1.96593935348421</v>
      </c>
      <c r="MQ75" s="561">
        <f t="shared" si="544"/>
        <v>115.9846742156422</v>
      </c>
      <c r="MR75" s="561">
        <f t="shared" si="544"/>
        <v>1328.1722021934479</v>
      </c>
      <c r="MS75" s="561">
        <f t="shared" si="544"/>
        <v>1160.6220239244769</v>
      </c>
      <c r="MT75" s="561">
        <f t="shared" si="544"/>
        <v>849.38038236128102</v>
      </c>
      <c r="MU75" s="562">
        <f t="shared" si="544"/>
        <v>348.0102775959034</v>
      </c>
      <c r="MW75" s="167" t="s">
        <v>596</v>
      </c>
      <c r="MX75" s="583">
        <f t="shared" ref="MX75:NF75" si="545">MX31+MX32+MX33+MX34</f>
        <v>4098.2809850000003</v>
      </c>
      <c r="MY75" s="561">
        <f t="shared" si="545"/>
        <v>3748.2126699999999</v>
      </c>
      <c r="MZ75" s="561">
        <f t="shared" si="545"/>
        <v>350.06831399999999</v>
      </c>
      <c r="NA75" s="583">
        <f t="shared" si="545"/>
        <v>3995.6352012688021</v>
      </c>
      <c r="NB75" s="561">
        <f t="shared" si="545"/>
        <v>3531.0760813022016</v>
      </c>
      <c r="NC75" s="562">
        <f t="shared" si="545"/>
        <v>464.55911996660086</v>
      </c>
      <c r="ND75" s="583">
        <f t="shared" si="545"/>
        <v>3842.4676792551381</v>
      </c>
      <c r="NE75" s="561">
        <f t="shared" si="545"/>
        <v>3474.4961278524288</v>
      </c>
      <c r="NF75" s="562">
        <f t="shared" si="545"/>
        <v>367.97155140270661</v>
      </c>
      <c r="NH75" s="167" t="s">
        <v>596</v>
      </c>
      <c r="NI75" s="583">
        <f t="shared" ref="NI75:NR75" si="546">NI31+NI32+NI33+NI34</f>
        <v>2899.5806751659525</v>
      </c>
      <c r="NJ75" s="562">
        <f t="shared" si="546"/>
        <v>631.49540613624868</v>
      </c>
      <c r="NK75" s="583">
        <f t="shared" si="546"/>
        <v>289.39081518310707</v>
      </c>
      <c r="NL75" s="561">
        <f t="shared" si="546"/>
        <v>165.21154848663778</v>
      </c>
      <c r="NM75" s="562">
        <f t="shared" si="546"/>
        <v>9.9567562968559908</v>
      </c>
      <c r="NN75" s="583">
        <f t="shared" si="546"/>
        <v>2776.3853980056538</v>
      </c>
      <c r="NO75" s="562">
        <f t="shared" si="546"/>
        <v>698.11072984677446</v>
      </c>
      <c r="NP75" s="583">
        <f t="shared" si="546"/>
        <v>241.97252178250159</v>
      </c>
      <c r="NQ75" s="561">
        <f t="shared" si="546"/>
        <v>125.99902962020509</v>
      </c>
      <c r="NR75" s="562">
        <f t="shared" si="546"/>
        <v>0</v>
      </c>
      <c r="NS75" s="136"/>
      <c r="NT75" s="167" t="s">
        <v>596</v>
      </c>
      <c r="NU75" s="583">
        <f t="shared" ref="NU75:OB75" si="547">NU31+NU32+NU33+NU34</f>
        <v>424.52696187079312</v>
      </c>
      <c r="NV75" s="561">
        <f t="shared" si="547"/>
        <v>46.282177761301099</v>
      </c>
      <c r="NW75" s="561">
        <f t="shared" si="547"/>
        <v>22.142228103254791</v>
      </c>
      <c r="NX75" s="562">
        <f t="shared" si="547"/>
        <v>138.54403840089967</v>
      </c>
      <c r="NY75" s="583">
        <f t="shared" si="547"/>
        <v>446.79843420464397</v>
      </c>
      <c r="NZ75" s="561">
        <f t="shared" si="547"/>
        <v>74.918476867661298</v>
      </c>
      <c r="OA75" s="561">
        <f t="shared" si="547"/>
        <v>15.884897743939351</v>
      </c>
      <c r="OB75" s="562">
        <f t="shared" si="547"/>
        <v>160.50892103052982</v>
      </c>
      <c r="OC75" s="553"/>
      <c r="OD75" s="167" t="s">
        <v>596</v>
      </c>
      <c r="OE75" s="583">
        <f t="shared" ref="OE75:OR75" si="548">OE31+OE32+OE33+OE34</f>
        <v>183.89786575495259</v>
      </c>
      <c r="OF75" s="561">
        <f t="shared" si="548"/>
        <v>352.04394566626127</v>
      </c>
      <c r="OG75" s="561">
        <f t="shared" si="548"/>
        <v>303.9179396914372</v>
      </c>
      <c r="OH75" s="561">
        <f t="shared" si="548"/>
        <v>168.8217326668418</v>
      </c>
      <c r="OI75" s="561">
        <f t="shared" si="548"/>
        <v>1063.0882715390092</v>
      </c>
      <c r="OJ75" s="561">
        <f t="shared" si="548"/>
        <v>128.25677620284861</v>
      </c>
      <c r="OK75" s="562">
        <f t="shared" si="548"/>
        <v>78.041824752083741</v>
      </c>
      <c r="OL75" s="583">
        <f t="shared" si="548"/>
        <v>255.9904122925621</v>
      </c>
      <c r="OM75" s="561">
        <f t="shared" si="548"/>
        <v>358.76959740210827</v>
      </c>
      <c r="ON75" s="561">
        <f t="shared" si="548"/>
        <v>303.9179396914372</v>
      </c>
      <c r="OO75" s="561">
        <f t="shared" si="548"/>
        <v>168.8217326668418</v>
      </c>
      <c r="OP75" s="561">
        <f t="shared" si="548"/>
        <v>1416.629948709262</v>
      </c>
      <c r="OQ75" s="561">
        <f t="shared" si="548"/>
        <v>661.28881618509001</v>
      </c>
      <c r="OR75" s="562">
        <f t="shared" si="548"/>
        <v>5362.3641195276305</v>
      </c>
      <c r="OT75" s="167" t="s">
        <v>596</v>
      </c>
      <c r="OU75" s="583">
        <f t="shared" ref="OU75:PF75" si="549">OU31+OU32+OU33+OU34</f>
        <v>1843.209155</v>
      </c>
      <c r="OV75" s="561">
        <f t="shared" si="549"/>
        <v>1198.7357610000001</v>
      </c>
      <c r="OW75" s="561">
        <f t="shared" si="549"/>
        <v>1071.2373849999999</v>
      </c>
      <c r="OX75" s="562">
        <f t="shared" si="549"/>
        <v>2416.6249440000001</v>
      </c>
      <c r="OY75" s="583">
        <f t="shared" si="549"/>
        <v>1254.3418688238189</v>
      </c>
      <c r="OZ75" s="561">
        <f t="shared" si="549"/>
        <v>1006.2725776803659</v>
      </c>
      <c r="PA75" s="561">
        <f t="shared" si="549"/>
        <v>1134.2830430360889</v>
      </c>
      <c r="PB75" s="562">
        <f t="shared" si="549"/>
        <v>2826.3093570485812</v>
      </c>
      <c r="PC75" s="583">
        <f t="shared" si="549"/>
        <v>1014.391572992222</v>
      </c>
      <c r="PD75" s="561">
        <f t="shared" si="549"/>
        <v>1034.1664296342051</v>
      </c>
      <c r="PE75" s="561">
        <f t="shared" si="549"/>
        <v>1012.464393706288</v>
      </c>
      <c r="PF75" s="562">
        <f t="shared" si="549"/>
        <v>3109.8736155953247</v>
      </c>
      <c r="PH75" s="167" t="s">
        <v>596</v>
      </c>
      <c r="PI75" s="583">
        <f t="shared" ref="PI75:PP75" si="550">PI31+PI32+PI33+PI34</f>
        <v>391.73912020839549</v>
      </c>
      <c r="PJ75" s="561">
        <f t="shared" si="550"/>
        <v>556.19937668265959</v>
      </c>
      <c r="PK75" s="561">
        <f t="shared" si="550"/>
        <v>491.14866039472827</v>
      </c>
      <c r="PL75" s="562">
        <f t="shared" si="550"/>
        <v>1385.8929053684296</v>
      </c>
      <c r="PM75" s="583">
        <f t="shared" si="550"/>
        <v>622.65245278382577</v>
      </c>
      <c r="PN75" s="561">
        <f t="shared" si="550"/>
        <v>477.96705295154675</v>
      </c>
      <c r="PO75" s="561">
        <f t="shared" si="550"/>
        <v>521.31573331155857</v>
      </c>
      <c r="PP75" s="562">
        <f t="shared" si="550"/>
        <v>1723.980710226896</v>
      </c>
      <c r="PQ75" s="65"/>
      <c r="PR75" s="169" t="s">
        <v>596</v>
      </c>
      <c r="PS75" s="1038">
        <f t="shared" ref="PS75:PW75" si="551">PS31+PS32+PS33+PS34</f>
        <v>101.83102446727571</v>
      </c>
      <c r="PT75" s="1039">
        <f t="shared" si="551"/>
        <v>612.51939438570707</v>
      </c>
      <c r="PU75" s="1039">
        <f t="shared" si="551"/>
        <v>375.5436511681142</v>
      </c>
      <c r="PV75" s="1039">
        <f t="shared" si="551"/>
        <v>35.424854526189122</v>
      </c>
      <c r="PW75" s="1039">
        <f t="shared" si="551"/>
        <v>1894.2764525010912</v>
      </c>
      <c r="PX75" s="1040">
        <f t="shared" ref="PX75" si="552">PX31+PX32+PX33+PX34</f>
        <v>819.87229916060392</v>
      </c>
      <c r="PZ75" s="169" t="s">
        <v>596</v>
      </c>
      <c r="QA75" s="1038">
        <f t="shared" ref="QA75:QF75" si="553">QA31+QA32+QA33+QA34</f>
        <v>2303.6757111438583</v>
      </c>
      <c r="QB75" s="1039">
        <f t="shared" si="553"/>
        <v>1538.791968111278</v>
      </c>
      <c r="QC75" s="1039">
        <f t="shared" si="553"/>
        <v>1087.417112773282</v>
      </c>
      <c r="QD75" s="1039">
        <f t="shared" ref="QD75" si="554">QD31+QD32+QD33+QD34</f>
        <v>172.25743320872832</v>
      </c>
      <c r="QE75" s="1039">
        <f t="shared" si="553"/>
        <v>275.65238152836207</v>
      </c>
      <c r="QF75" s="1040">
        <f t="shared" si="553"/>
        <v>3.4650406009050698</v>
      </c>
    </row>
    <row r="76" spans="1:448" ht="13.5" customHeight="1">
      <c r="A76" s="136"/>
      <c r="B76" s="167" t="s">
        <v>597</v>
      </c>
      <c r="C76" s="561">
        <f t="shared" ref="C76" si="555">C35+C36+C37+C38+C39</f>
        <v>10865.474398</v>
      </c>
      <c r="D76" s="561">
        <f t="shared" ref="D76:E76" si="556">D35+D36+D37+D38+D39</f>
        <v>10334.033309420183</v>
      </c>
      <c r="E76" s="562">
        <f t="shared" si="556"/>
        <v>9161.0492213804901</v>
      </c>
      <c r="F76" s="136"/>
      <c r="G76" s="167" t="s">
        <v>597</v>
      </c>
      <c r="H76" s="318">
        <f t="shared" si="447"/>
        <v>-9.9793965586135736E-3</v>
      </c>
      <c r="I76" s="668">
        <f t="shared" si="448"/>
        <v>-2.3808387387182273E-2</v>
      </c>
      <c r="J76" s="612"/>
      <c r="K76" s="63"/>
      <c r="L76" s="167" t="s">
        <v>597</v>
      </c>
      <c r="M76" s="583">
        <f t="shared" ref="M76:T76" si="557">M35+M36+M37+M38+M39</f>
        <v>189</v>
      </c>
      <c r="N76" s="561">
        <f t="shared" si="557"/>
        <v>181</v>
      </c>
      <c r="O76" s="561">
        <f t="shared" si="557"/>
        <v>186</v>
      </c>
      <c r="P76" s="561">
        <f t="shared" si="557"/>
        <v>173</v>
      </c>
      <c r="Q76" s="561">
        <f t="shared" si="557"/>
        <v>168</v>
      </c>
      <c r="R76" s="561">
        <f t="shared" si="557"/>
        <v>182</v>
      </c>
      <c r="S76" s="561">
        <f t="shared" si="557"/>
        <v>185</v>
      </c>
      <c r="T76" s="561">
        <f t="shared" si="557"/>
        <v>193</v>
      </c>
      <c r="U76" s="561">
        <f t="shared" ref="U76:V76" si="558">U35+U36+U37+U38+U39</f>
        <v>165</v>
      </c>
      <c r="V76" s="561">
        <f t="shared" si="558"/>
        <v>144</v>
      </c>
      <c r="W76" s="562">
        <f t="shared" ref="W76" si="559">W35+W36+W37+W38+W39</f>
        <v>164</v>
      </c>
      <c r="X76" s="167" t="s">
        <v>597</v>
      </c>
      <c r="Y76" s="583">
        <f t="shared" ref="Y76:AB76" si="560">Y35+Y36+Y37+Y38+Y39</f>
        <v>185</v>
      </c>
      <c r="Z76" s="561">
        <f t="shared" si="560"/>
        <v>179.5</v>
      </c>
      <c r="AA76" s="561">
        <f t="shared" si="560"/>
        <v>175</v>
      </c>
      <c r="AB76" s="561">
        <f t="shared" si="560"/>
        <v>189</v>
      </c>
      <c r="AC76" s="1206">
        <f t="shared" ref="AC76" si="561">AC35+AC36+AC37+AC38+AC39</f>
        <v>189</v>
      </c>
      <c r="AD76" s="336">
        <f t="shared" si="98"/>
        <v>-2.9729729729729731E-2</v>
      </c>
      <c r="AE76" s="336">
        <f t="shared" si="99"/>
        <v>-2.5069637883008356E-2</v>
      </c>
      <c r="AF76" s="336">
        <f t="shared" si="100"/>
        <v>0.08</v>
      </c>
      <c r="AG76" s="1217">
        <f t="shared" si="101"/>
        <v>0</v>
      </c>
      <c r="AN76" s="167" t="s">
        <v>597</v>
      </c>
      <c r="AO76" s="583">
        <f t="shared" ref="AO76:AV76" si="562">AO35+AO36+AO37+AO38+AO39</f>
        <v>0</v>
      </c>
      <c r="AP76" s="561">
        <f t="shared" si="562"/>
        <v>137.205004</v>
      </c>
      <c r="AQ76" s="561">
        <f t="shared" si="562"/>
        <v>236.135234</v>
      </c>
      <c r="AR76" s="561">
        <f t="shared" si="562"/>
        <v>751.41251800000009</v>
      </c>
      <c r="AS76" s="561">
        <f t="shared" si="562"/>
        <v>1753.7895609999996</v>
      </c>
      <c r="AT76" s="561">
        <f t="shared" si="562"/>
        <v>1448.9527460000002</v>
      </c>
      <c r="AU76" s="561">
        <f t="shared" si="562"/>
        <v>1652.3774349999999</v>
      </c>
      <c r="AV76" s="562">
        <f t="shared" si="562"/>
        <v>2603.9867770000001</v>
      </c>
      <c r="AW76" s="583">
        <f t="shared" ref="AW76:BD76" si="563">AW35+AW36+AW37+AW38+AW39</f>
        <v>1.0822754919554201</v>
      </c>
      <c r="AX76" s="561">
        <f t="shared" si="563"/>
        <v>143.58822597374822</v>
      </c>
      <c r="AY76" s="561">
        <f t="shared" si="563"/>
        <v>337.72124016340751</v>
      </c>
      <c r="AZ76" s="561">
        <f t="shared" si="563"/>
        <v>620.66629529729698</v>
      </c>
      <c r="BA76" s="561">
        <f t="shared" si="563"/>
        <v>1426.8886821975934</v>
      </c>
      <c r="BB76" s="561">
        <f t="shared" si="563"/>
        <v>1343.8944554300747</v>
      </c>
      <c r="BC76" s="561">
        <f t="shared" si="563"/>
        <v>1579.8055624025812</v>
      </c>
      <c r="BD76" s="562">
        <f t="shared" si="563"/>
        <v>2536.9729160566417</v>
      </c>
      <c r="BE76" s="583">
        <f t="shared" ref="BE76:BL76" si="564">BE35+BE36+BE37+BE38+BE39</f>
        <v>3.2479954120268801</v>
      </c>
      <c r="BF76" s="561">
        <f t="shared" si="564"/>
        <v>124.93680035190089</v>
      </c>
      <c r="BG76" s="561">
        <f t="shared" si="564"/>
        <v>235.1934997986007</v>
      </c>
      <c r="BH76" s="561">
        <f t="shared" si="564"/>
        <v>530.90190357543179</v>
      </c>
      <c r="BI76" s="561">
        <f t="shared" si="564"/>
        <v>1278.6037040428459</v>
      </c>
      <c r="BJ76" s="561">
        <f t="shared" si="564"/>
        <v>1130.2997517774111</v>
      </c>
      <c r="BK76" s="561">
        <f t="shared" si="564"/>
        <v>1404.4037387040889</v>
      </c>
      <c r="BL76" s="562">
        <f t="shared" si="564"/>
        <v>2481.3990286425787</v>
      </c>
      <c r="BM76" s="561"/>
      <c r="BN76" s="167" t="s">
        <v>597</v>
      </c>
      <c r="BO76" s="583">
        <f t="shared" ref="BO76:BT76" si="565">BO35+BO36+BO37+BO38+BO39</f>
        <v>2282.6151210000003</v>
      </c>
      <c r="BP76" s="561">
        <f t="shared" si="565"/>
        <v>3138.1374510000005</v>
      </c>
      <c r="BQ76" s="561">
        <f t="shared" si="565"/>
        <v>1926.510029</v>
      </c>
      <c r="BR76" s="561">
        <f t="shared" si="565"/>
        <v>1797.0471689999999</v>
      </c>
      <c r="BS76" s="561">
        <f t="shared" si="565"/>
        <v>900.18258600000001</v>
      </c>
      <c r="BT76" s="562">
        <f t="shared" si="565"/>
        <v>820.98203899999999</v>
      </c>
      <c r="BU76" s="583">
        <f t="shared" ref="BU76:BZ76" si="566">BU35+BU36+BU37+BU38+BU39</f>
        <v>2339.4136595329351</v>
      </c>
      <c r="BV76" s="561">
        <f t="shared" si="566"/>
        <v>2699.0074190316382</v>
      </c>
      <c r="BW76" s="561">
        <f t="shared" si="566"/>
        <v>1837.0831083682765</v>
      </c>
      <c r="BX76" s="561">
        <f t="shared" si="566"/>
        <v>1601.8588393638427</v>
      </c>
      <c r="BY76" s="561">
        <f t="shared" si="566"/>
        <v>1038.6523123930021</v>
      </c>
      <c r="BZ76" s="562">
        <f t="shared" si="566"/>
        <v>818.01797073048954</v>
      </c>
      <c r="CA76" s="583">
        <f t="shared" ref="CA76:CF76" si="567">CA35+CA36+CA37+CA38+CA39</f>
        <v>1971.0627980602178</v>
      </c>
      <c r="CB76" s="561">
        <f t="shared" si="567"/>
        <v>2359.0657697245379</v>
      </c>
      <c r="CC76" s="561">
        <f t="shared" si="567"/>
        <v>1614.9261693806041</v>
      </c>
      <c r="CD76" s="561">
        <f t="shared" si="567"/>
        <v>1306.5599170728951</v>
      </c>
      <c r="CE76" s="561">
        <f t="shared" si="567"/>
        <v>1168.533322124845</v>
      </c>
      <c r="CF76" s="562">
        <f t="shared" si="567"/>
        <v>740.90124501738751</v>
      </c>
      <c r="CG76" s="429"/>
      <c r="CH76" s="167" t="s">
        <v>597</v>
      </c>
      <c r="CI76" s="583">
        <f t="shared" ref="CI76:CK76" si="568">CI35+CI36+CI37+CI38+CI39</f>
        <v>3269.4884389999997</v>
      </c>
      <c r="CJ76" s="561">
        <f t="shared" si="568"/>
        <v>6220.5727889999998</v>
      </c>
      <c r="CK76" s="561">
        <f t="shared" si="568"/>
        <v>1375.4131710000001</v>
      </c>
      <c r="CL76" s="583">
        <f t="shared" ref="CL76:CN76" si="569">CL35+CL36+CL37+CL38+CL39</f>
        <v>3298.2213995345423</v>
      </c>
      <c r="CM76" s="561">
        <f t="shared" si="569"/>
        <v>5601.877162436871</v>
      </c>
      <c r="CN76" s="561">
        <f t="shared" si="569"/>
        <v>1433.9347474487708</v>
      </c>
      <c r="CO76" s="583">
        <f t="shared" ref="CO76:CQ76" si="570">CO35+CO36+CO37+CO38+CO39</f>
        <v>2775.305205024556</v>
      </c>
      <c r="CP76" s="561">
        <f t="shared" si="570"/>
        <v>4920.314562441512</v>
      </c>
      <c r="CQ76" s="562">
        <f t="shared" si="570"/>
        <v>1465.429453914428</v>
      </c>
      <c r="CR76" s="429"/>
      <c r="DG76" s="167" t="s">
        <v>597</v>
      </c>
      <c r="DH76" s="829"/>
      <c r="DI76" s="830"/>
      <c r="DJ76" s="830"/>
      <c r="DK76" s="830"/>
      <c r="DL76" s="830"/>
      <c r="DM76" s="831"/>
      <c r="DO76" s="167" t="s">
        <v>597</v>
      </c>
      <c r="DP76" s="704">
        <f t="shared" ref="DP76:DR76" si="571">DP35+DP36+DP37+DP38+DP39</f>
        <v>5360.3754169999993</v>
      </c>
      <c r="DQ76" s="561">
        <f t="shared" si="571"/>
        <v>5046.9452868513754</v>
      </c>
      <c r="DR76" s="562">
        <f t="shared" si="571"/>
        <v>4813.2667768030196</v>
      </c>
      <c r="DS76" s="63"/>
      <c r="DT76" s="167" t="s">
        <v>597</v>
      </c>
      <c r="DU76" s="583">
        <f t="shared" ref="DU76:DW76" si="572">DU35+DU36+DU37+DU38+DU39</f>
        <v>10665.474641999999</v>
      </c>
      <c r="DV76" s="561">
        <f t="shared" si="572"/>
        <v>10160.0334454034</v>
      </c>
      <c r="DW76" s="562">
        <f t="shared" si="572"/>
        <v>9004.0490619650391</v>
      </c>
      <c r="DX76" s="63"/>
      <c r="DY76" s="167" t="s">
        <v>597</v>
      </c>
      <c r="DZ76" s="1092">
        <f t="shared" si="410"/>
        <v>1.9896879998694317</v>
      </c>
      <c r="EA76" s="790">
        <f t="shared" si="411"/>
        <v>2.0131055258064654</v>
      </c>
      <c r="EB76" s="779">
        <f t="shared" si="412"/>
        <v>1.870673178839579</v>
      </c>
      <c r="ED76" s="541"/>
      <c r="EE76" s="167" t="s">
        <v>597</v>
      </c>
      <c r="EF76" s="583">
        <f t="shared" ref="EF76:EJ76" si="573">EF35+EF36+EF37+EF38+EF39</f>
        <v>2855.3279320000001</v>
      </c>
      <c r="EG76" s="561">
        <f t="shared" si="573"/>
        <v>172.25931499999999</v>
      </c>
      <c r="EH76" s="561">
        <f t="shared" si="573"/>
        <v>659.64263399999993</v>
      </c>
      <c r="EI76" s="561">
        <f t="shared" si="573"/>
        <v>928.327809</v>
      </c>
      <c r="EJ76" s="561">
        <f t="shared" si="573"/>
        <v>744.81772699999999</v>
      </c>
      <c r="EK76" s="583">
        <f t="shared" ref="EK76:EO76" si="574">EK35+EK36+EK37+EK38+EK39</f>
        <v>2739.5935992667505</v>
      </c>
      <c r="EL76" s="561">
        <f t="shared" si="574"/>
        <v>143.88213742830598</v>
      </c>
      <c r="EM76" s="561">
        <f t="shared" si="574"/>
        <v>622.55900275070883</v>
      </c>
      <c r="EN76" s="561">
        <f t="shared" si="574"/>
        <v>836.6214636437212</v>
      </c>
      <c r="EO76" s="561">
        <f t="shared" si="574"/>
        <v>704.28908376188792</v>
      </c>
      <c r="EP76" s="583">
        <f t="shared" ref="EP76:ET76" si="575">EP35+EP36+EP37+EP38+EP39</f>
        <v>2856.7024570330218</v>
      </c>
      <c r="EQ76" s="561">
        <f t="shared" si="575"/>
        <v>117.6901301957833</v>
      </c>
      <c r="ER76" s="561">
        <f t="shared" si="575"/>
        <v>532.27238090825438</v>
      </c>
      <c r="ES76" s="561">
        <f t="shared" si="575"/>
        <v>612.73796396618377</v>
      </c>
      <c r="ET76" s="562">
        <f t="shared" si="575"/>
        <v>693.8638446997669</v>
      </c>
      <c r="EV76" s="167" t="s">
        <v>597</v>
      </c>
      <c r="EW76" s="583">
        <f t="shared" ref="EW76:FD76" si="576">EW35+EW36+EW37+EW38+EW39</f>
        <v>776.74419100000011</v>
      </c>
      <c r="EX76" s="561">
        <f t="shared" si="576"/>
        <v>1022.5944689999999</v>
      </c>
      <c r="EY76" s="561">
        <f t="shared" si="576"/>
        <v>773.97972400000003</v>
      </c>
      <c r="EZ76" s="561">
        <f t="shared" si="576"/>
        <v>281.10061300000001</v>
      </c>
      <c r="FA76" s="583">
        <f t="shared" si="576"/>
        <v>2182.8308950000001</v>
      </c>
      <c r="FB76" s="561">
        <f t="shared" si="576"/>
        <v>4062.4144600000004</v>
      </c>
      <c r="FC76" s="561">
        <f t="shared" si="576"/>
        <v>1703.2898889999999</v>
      </c>
      <c r="FD76" s="561">
        <f t="shared" si="576"/>
        <v>434.32427700000005</v>
      </c>
      <c r="FE76" s="583">
        <f t="shared" ref="FE76:FL76" si="577">FE35+FE36+FE37+FE38+FE39</f>
        <v>694.88612536832488</v>
      </c>
      <c r="FF76" s="561">
        <f t="shared" si="577"/>
        <v>980.0022249280056</v>
      </c>
      <c r="FG76" s="561">
        <f t="shared" si="577"/>
        <v>771.73480851350928</v>
      </c>
      <c r="FH76" s="562">
        <f t="shared" si="577"/>
        <v>295.9704381123729</v>
      </c>
      <c r="FI76" s="583">
        <f t="shared" si="577"/>
        <v>1925.9270044489897</v>
      </c>
      <c r="FJ76" s="561">
        <f t="shared" si="577"/>
        <v>3650.6478668948894</v>
      </c>
      <c r="FK76" s="561">
        <f t="shared" si="577"/>
        <v>1763.7661545376932</v>
      </c>
      <c r="FL76" s="562">
        <f t="shared" si="577"/>
        <v>483.27875764435419</v>
      </c>
      <c r="FM76" s="703">
        <f t="shared" ref="FM76:FT76" si="578">FM35+FM36+FM37+FM38+FM39</f>
        <v>691.15596104563656</v>
      </c>
      <c r="FN76" s="704">
        <f t="shared" si="578"/>
        <v>972.08236338838492</v>
      </c>
      <c r="FO76" s="704">
        <f t="shared" si="578"/>
        <v>910.8744129317929</v>
      </c>
      <c r="FP76" s="173">
        <f t="shared" si="578"/>
        <v>279.58971662105142</v>
      </c>
      <c r="FQ76" s="703">
        <f t="shared" si="578"/>
        <v>1666.0550560060069</v>
      </c>
      <c r="FR76" s="704">
        <f t="shared" si="578"/>
        <v>3099.9550265838679</v>
      </c>
      <c r="FS76" s="704">
        <f t="shared" si="578"/>
        <v>1843.8407184942221</v>
      </c>
      <c r="FT76" s="173">
        <f t="shared" si="578"/>
        <v>420.13545977456971</v>
      </c>
      <c r="FV76" s="167" t="s">
        <v>597</v>
      </c>
      <c r="FW76" s="583">
        <f t="shared" ref="FW76:GH76" si="579">FW35+FW36+FW37+FW38+FW39</f>
        <v>807.56188500000007</v>
      </c>
      <c r="FX76" s="561">
        <f t="shared" si="579"/>
        <v>702.84088199999997</v>
      </c>
      <c r="FY76" s="561">
        <f t="shared" si="579"/>
        <v>429.51184699999999</v>
      </c>
      <c r="FZ76" s="562">
        <f t="shared" si="579"/>
        <v>408.49880099999996</v>
      </c>
      <c r="GA76" s="583">
        <f t="shared" si="579"/>
        <v>744.44137413191766</v>
      </c>
      <c r="GB76" s="561">
        <f t="shared" si="579"/>
        <v>599.54590339132847</v>
      </c>
      <c r="GC76" s="561">
        <f t="shared" si="579"/>
        <v>375.6259569088561</v>
      </c>
      <c r="GD76" s="562">
        <f t="shared" si="579"/>
        <v>464.58232754739697</v>
      </c>
      <c r="GE76" s="583">
        <f t="shared" si="579"/>
        <v>683.37859993194979</v>
      </c>
      <c r="GF76" s="561">
        <f t="shared" si="579"/>
        <v>453.44601603397479</v>
      </c>
      <c r="GG76" s="561">
        <f t="shared" si="579"/>
        <v>300.06311677136512</v>
      </c>
      <c r="GH76" s="562">
        <f t="shared" si="579"/>
        <v>411.32062519431207</v>
      </c>
      <c r="GI76" s="561"/>
      <c r="GJ76" s="167" t="s">
        <v>597</v>
      </c>
      <c r="GK76" s="561">
        <f t="shared" ref="GK76:GM76" si="580">GK35+GK36+GK37+GK38+GK39</f>
        <v>5806.4934589999993</v>
      </c>
      <c r="GL76" s="561">
        <f t="shared" si="580"/>
        <v>5724.6234051867204</v>
      </c>
      <c r="GM76" s="562">
        <f t="shared" si="580"/>
        <v>5659.8325293190519</v>
      </c>
      <c r="GO76" s="167" t="s">
        <v>597</v>
      </c>
      <c r="GP76" s="583">
        <f t="shared" ref="GP76:GX76" si="581">GP35+GP36+GP37+GP38+GP39</f>
        <v>5360.3754169999993</v>
      </c>
      <c r="GQ76" s="561">
        <f t="shared" si="581"/>
        <v>61.105649999999997</v>
      </c>
      <c r="GR76" s="562">
        <f t="shared" si="581"/>
        <v>385.01239299999997</v>
      </c>
      <c r="GS76" s="583">
        <f t="shared" si="581"/>
        <v>5049.9452845068372</v>
      </c>
      <c r="GT76" s="561">
        <f t="shared" si="581"/>
        <v>126.57367874999693</v>
      </c>
      <c r="GU76" s="562">
        <f t="shared" si="581"/>
        <v>548.10444192988643</v>
      </c>
      <c r="GV76" s="583">
        <f t="shared" si="581"/>
        <v>4810.2667737568645</v>
      </c>
      <c r="GW76" s="561">
        <f t="shared" si="581"/>
        <v>262.40922790541771</v>
      </c>
      <c r="GX76" s="562">
        <f t="shared" si="581"/>
        <v>587.15652765677646</v>
      </c>
      <c r="GZ76" s="167" t="s">
        <v>597</v>
      </c>
      <c r="HA76" s="583">
        <f t="shared" ref="HA76:HI76" si="582">HA35+HA36+HA37+HA38+HA39</f>
        <v>225.19385600000001</v>
      </c>
      <c r="HB76" s="561">
        <f t="shared" si="582"/>
        <v>5383.5774510000001</v>
      </c>
      <c r="HC76" s="562">
        <f t="shared" si="582"/>
        <v>197.72215199999994</v>
      </c>
      <c r="HD76" s="583">
        <f t="shared" si="582"/>
        <v>214.72050234273388</v>
      </c>
      <c r="HE76" s="561">
        <f t="shared" si="582"/>
        <v>5451.3503166296559</v>
      </c>
      <c r="HF76" s="562">
        <f t="shared" si="582"/>
        <v>58.552586214329494</v>
      </c>
      <c r="HG76" s="583">
        <f t="shared" si="582"/>
        <v>151.78343181802592</v>
      </c>
      <c r="HH76" s="561">
        <f t="shared" si="582"/>
        <v>5441.7446547797363</v>
      </c>
      <c r="HI76" s="562">
        <f t="shared" si="582"/>
        <v>66.304442721290002</v>
      </c>
      <c r="HK76" s="167" t="s">
        <v>597</v>
      </c>
      <c r="HL76" s="561">
        <f t="shared" ref="HL76:HO76" si="583">HL35+HL36+HL37+HL38+HL39</f>
        <v>5360.3754169999993</v>
      </c>
      <c r="HM76" s="561">
        <f t="shared" ref="HM76" si="584">HM35+HM36+HM37+HM38+HM39</f>
        <v>15657.929232000002</v>
      </c>
      <c r="HN76" s="779">
        <f t="shared" si="477"/>
        <v>2.9210508619120481</v>
      </c>
      <c r="HO76" s="583">
        <f t="shared" si="583"/>
        <v>5049.9452845068372</v>
      </c>
      <c r="HP76" s="561">
        <f t="shared" ref="HP76" si="585">HP35+HP36+HP37+HP38+HP39</f>
        <v>14433.583402730867</v>
      </c>
      <c r="HQ76" s="779">
        <f t="shared" si="479"/>
        <v>2.8581662947939064</v>
      </c>
      <c r="HR76" s="561">
        <f>HR35+HR36+HR37+HR38+HR39</f>
        <v>4810.2667737568645</v>
      </c>
      <c r="HS76" s="561">
        <f>HS35+HS36+HS37+HS38+HS39</f>
        <v>13308.544074374578</v>
      </c>
      <c r="HT76" s="784">
        <f t="shared" si="480"/>
        <v>2.766695632554383</v>
      </c>
      <c r="HV76" s="167" t="s">
        <v>597</v>
      </c>
      <c r="HW76" s="583">
        <f>HW35+HW36+HW37+HW38+HW39</f>
        <v>195.00438700000001</v>
      </c>
      <c r="HX76" s="561">
        <f>HX35+HX36+HX37+HX38+HX39</f>
        <v>914.67429399999992</v>
      </c>
      <c r="HY76" s="790">
        <f t="shared" si="481"/>
        <v>4.6905318801879048</v>
      </c>
      <c r="HZ76" s="561">
        <f>HZ35+HZ36+HZ37+HZ38+HZ39</f>
        <v>4976.4945770000004</v>
      </c>
      <c r="IA76" s="561">
        <f>IA35+IA36+IA37+IA38+IA39</f>
        <v>14405.136732999999</v>
      </c>
      <c r="IB76" s="790">
        <f t="shared" si="482"/>
        <v>2.8946352718993427</v>
      </c>
      <c r="IC76" s="583">
        <f>IC35+IC36+IC37+IC38+IC39</f>
        <v>177.58730682296209</v>
      </c>
      <c r="ID76" s="561">
        <f>ID35+ID36+ID37+ID38+ID39</f>
        <v>796.14427020463017</v>
      </c>
      <c r="IE76" s="790">
        <f t="shared" si="483"/>
        <v>4.4831147250761081</v>
      </c>
      <c r="IF76" s="561">
        <f>IF35+IF36+IF37+IF38+IF39</f>
        <v>4815.3697227995463</v>
      </c>
      <c r="IG76" s="561">
        <f>IG35+IG36+IG37+IG38+IG39</f>
        <v>13517.018128193065</v>
      </c>
      <c r="IH76" s="790">
        <f t="shared" si="126"/>
        <v>2.807057174487233</v>
      </c>
      <c r="II76" s="583">
        <f>II35+II36+II37+II38+II39</f>
        <v>139.86156246072653</v>
      </c>
      <c r="IJ76" s="561">
        <f>IJ35+IJ36+IJ37+IJ38+IJ39</f>
        <v>626.9467615178138</v>
      </c>
      <c r="IK76" s="790">
        <f t="shared" si="484"/>
        <v>4.482623749422662</v>
      </c>
      <c r="IL76" s="561">
        <f>IL35+IL36+IL37+IL38+IL39</f>
        <v>4606.0150511037064</v>
      </c>
      <c r="IM76" s="561">
        <f>IM35+IM36+IM37+IM38+IM39</f>
        <v>12546.150236624499</v>
      </c>
      <c r="IN76" s="779">
        <f t="shared" si="485"/>
        <v>2.7238621883396048</v>
      </c>
      <c r="IP76" s="167" t="s">
        <v>597</v>
      </c>
      <c r="IQ76" s="583">
        <f>IQ35+IQ36+IQ37+IQ38+IQ39</f>
        <v>1080.5849840000001</v>
      </c>
      <c r="IR76" s="561">
        <f t="shared" ref="IR76:JH76" si="586">IR35+IR36+IR37+IR38+IR39</f>
        <v>902.58691800000008</v>
      </c>
      <c r="IS76" s="561">
        <f t="shared" si="586"/>
        <v>1628.9543259999998</v>
      </c>
      <c r="IT76" s="561">
        <f t="shared" si="586"/>
        <v>1095.4776829999998</v>
      </c>
      <c r="IU76" s="561">
        <f t="shared" si="586"/>
        <v>652.77150399999994</v>
      </c>
      <c r="IV76" s="561">
        <f t="shared" si="586"/>
        <v>15657.929232000002</v>
      </c>
      <c r="IW76" s="703">
        <f t="shared" si="586"/>
        <v>869.89550044489545</v>
      </c>
      <c r="IX76" s="704">
        <f t="shared" si="586"/>
        <v>1197.2016586758375</v>
      </c>
      <c r="IY76" s="704">
        <f t="shared" si="586"/>
        <v>1528.558544164041</v>
      </c>
      <c r="IZ76" s="704">
        <f t="shared" si="586"/>
        <v>898.20942983884402</v>
      </c>
      <c r="JA76" s="704">
        <f t="shared" si="586"/>
        <v>556.08015138321855</v>
      </c>
      <c r="JB76" s="173">
        <f t="shared" si="586"/>
        <v>14433.583402730867</v>
      </c>
      <c r="JC76" s="703">
        <f t="shared" si="586"/>
        <v>864.58872655427126</v>
      </c>
      <c r="JD76" s="704">
        <f t="shared" si="586"/>
        <v>1257.4259597871981</v>
      </c>
      <c r="JE76" s="704">
        <f t="shared" si="586"/>
        <v>1386.6438992544711</v>
      </c>
      <c r="JF76" s="704">
        <f t="shared" si="586"/>
        <v>896.56805150620164</v>
      </c>
      <c r="JG76" s="704">
        <f t="shared" si="586"/>
        <v>405.04013665471587</v>
      </c>
      <c r="JH76" s="173">
        <f t="shared" si="586"/>
        <v>13308.544074374578</v>
      </c>
      <c r="JJ76" s="167" t="s">
        <v>597</v>
      </c>
      <c r="JK76" s="583">
        <f t="shared" ref="JK76:JV76" si="587">JK35+JK36+JK37+JK38+JK39</f>
        <v>285.790729</v>
      </c>
      <c r="JL76" s="561">
        <f t="shared" si="587"/>
        <v>1311.178637</v>
      </c>
      <c r="JM76" s="561">
        <f t="shared" si="587"/>
        <v>3713.3363130000002</v>
      </c>
      <c r="JN76" s="562">
        <f t="shared" si="587"/>
        <v>50.069737999999994</v>
      </c>
      <c r="JO76" s="583">
        <f t="shared" si="587"/>
        <v>411.69941098527164</v>
      </c>
      <c r="JP76" s="561">
        <f t="shared" si="587"/>
        <v>1124.9499677422491</v>
      </c>
      <c r="JQ76" s="561">
        <f t="shared" si="587"/>
        <v>3463.9915545467106</v>
      </c>
      <c r="JR76" s="562">
        <f t="shared" si="587"/>
        <v>49.30435123260542</v>
      </c>
      <c r="JS76" s="583">
        <f t="shared" si="587"/>
        <v>334.08467806948659</v>
      </c>
      <c r="JT76" s="561">
        <f t="shared" si="587"/>
        <v>1098.619157491032</v>
      </c>
      <c r="JU76" s="561">
        <f t="shared" si="587"/>
        <v>3306.77342633641</v>
      </c>
      <c r="JV76" s="562">
        <f t="shared" si="587"/>
        <v>70.789511859925838</v>
      </c>
      <c r="JX76" s="167" t="s">
        <v>597</v>
      </c>
      <c r="JY76" s="583">
        <f t="shared" ref="JY76:KB76" si="588">JY35+JY36+JY37+JY38+JY39</f>
        <v>903.28274985833536</v>
      </c>
      <c r="JZ76" s="561">
        <f t="shared" si="588"/>
        <v>1295.4497609105481</v>
      </c>
      <c r="KA76" s="561">
        <f t="shared" si="588"/>
        <v>848.65255208552799</v>
      </c>
      <c r="KB76" s="562">
        <f t="shared" si="588"/>
        <v>1762.8817109024458</v>
      </c>
      <c r="KC76" s="604"/>
      <c r="KD76" s="167" t="s">
        <v>597</v>
      </c>
      <c r="KE76" s="583">
        <f t="shared" ref="KE76:KV76" si="589">KE35+KE36+KE37+KE38+KE39</f>
        <v>17.014163701506998</v>
      </c>
      <c r="KF76" s="561">
        <f t="shared" si="589"/>
        <v>79.913183194320737</v>
      </c>
      <c r="KG76" s="561">
        <f t="shared" si="589"/>
        <v>2677.6582889125798</v>
      </c>
      <c r="KH76" s="561">
        <f t="shared" si="589"/>
        <v>1095.2575492287192</v>
      </c>
      <c r="KI76" s="561">
        <f t="shared" si="589"/>
        <v>611.79912066623967</v>
      </c>
      <c r="KJ76" s="562">
        <f t="shared" si="589"/>
        <v>120.167364197368</v>
      </c>
      <c r="KK76" s="583">
        <f t="shared" si="589"/>
        <v>9.2267870861948307</v>
      </c>
      <c r="KL76" s="561">
        <f t="shared" si="589"/>
        <v>68.745263193127499</v>
      </c>
      <c r="KM76" s="561">
        <f t="shared" si="589"/>
        <v>38.283442354350882</v>
      </c>
      <c r="KN76" s="561">
        <f t="shared" si="589"/>
        <v>6.43367869695685</v>
      </c>
      <c r="KO76" s="561">
        <f t="shared" si="589"/>
        <v>3.6287016207737479</v>
      </c>
      <c r="KP76" s="562">
        <f t="shared" si="589"/>
        <v>13.543689509322727</v>
      </c>
      <c r="KQ76" s="583">
        <f t="shared" si="589"/>
        <v>26.240950787701777</v>
      </c>
      <c r="KR76" s="561">
        <f t="shared" si="589"/>
        <v>151.78538021663823</v>
      </c>
      <c r="KS76" s="561">
        <f t="shared" si="589"/>
        <v>2756.2330261026555</v>
      </c>
      <c r="KT76" s="561">
        <f t="shared" si="589"/>
        <v>1109.263168144973</v>
      </c>
      <c r="KU76" s="561">
        <f t="shared" si="589"/>
        <v>625.95638688632164</v>
      </c>
      <c r="KV76" s="562">
        <f t="shared" si="589"/>
        <v>136.58248041559293</v>
      </c>
      <c r="KW76" s="429"/>
      <c r="KX76" s="167" t="s">
        <v>597</v>
      </c>
      <c r="KY76" s="583">
        <f t="shared" ref="KY76:LA76" si="590">KY35+KY36+KY37+KY38+KY39</f>
        <v>2736.3417650000001</v>
      </c>
      <c r="KZ76" s="561">
        <f t="shared" si="590"/>
        <v>2199.3052509999998</v>
      </c>
      <c r="LA76" s="562">
        <f t="shared" si="590"/>
        <v>424.72840099999996</v>
      </c>
      <c r="LB76" s="583">
        <f t="shared" ref="LB76:LD76" si="591">LB35+LB36+LB37+LB38+LB39</f>
        <v>2688.2780866802386</v>
      </c>
      <c r="LC76" s="561">
        <f t="shared" si="591"/>
        <v>2022.1763678501143</v>
      </c>
      <c r="LD76" s="562">
        <f t="shared" si="591"/>
        <v>336.49083232102203</v>
      </c>
      <c r="LE76" s="583">
        <f t="shared" ref="LE76:LG76" si="592">LE35+LE36+LE37+LE38+LE39</f>
        <v>2746.0719026350084</v>
      </c>
      <c r="LF76" s="561">
        <f t="shared" si="592"/>
        <v>1748.5946726139398</v>
      </c>
      <c r="LG76" s="562">
        <f t="shared" si="592"/>
        <v>318.60020155407051</v>
      </c>
      <c r="LH76" s="426"/>
      <c r="LI76" s="167" t="s">
        <v>597</v>
      </c>
      <c r="LJ76" s="583">
        <f t="shared" ref="LJ76:MA76" si="593">LJ35+LJ36+LJ37+LJ38+LJ39</f>
        <v>4499.160014</v>
      </c>
      <c r="LK76" s="561">
        <f t="shared" si="593"/>
        <v>3175.6202429999998</v>
      </c>
      <c r="LL76" s="561">
        <f t="shared" si="593"/>
        <v>1323.5397679999999</v>
      </c>
      <c r="LM76" s="561">
        <f t="shared" si="593"/>
        <v>1365.2750909999997</v>
      </c>
      <c r="LN76" s="561">
        <f t="shared" si="593"/>
        <v>366.59260900000004</v>
      </c>
      <c r="LO76" s="562">
        <f t="shared" si="593"/>
        <v>976.41838999999993</v>
      </c>
      <c r="LP76" s="583">
        <f t="shared" si="593"/>
        <v>4058.4769266870094</v>
      </c>
      <c r="LQ76" s="561">
        <f t="shared" si="593"/>
        <v>2597.6216459731395</v>
      </c>
      <c r="LR76" s="561">
        <f t="shared" si="593"/>
        <v>1460.8552807138701</v>
      </c>
      <c r="LS76" s="561">
        <f t="shared" si="593"/>
        <v>1201.1495373146402</v>
      </c>
      <c r="LT76" s="561">
        <f t="shared" si="593"/>
        <v>268.10435851670422</v>
      </c>
      <c r="LU76" s="562">
        <f t="shared" si="593"/>
        <v>1032.9540799201245</v>
      </c>
      <c r="LV76" s="583">
        <f t="shared" si="593"/>
        <v>3501.1414346192064</v>
      </c>
      <c r="LW76" s="561">
        <f t="shared" si="593"/>
        <v>2242.6760509976671</v>
      </c>
      <c r="LX76" s="561">
        <f t="shared" si="593"/>
        <v>1258.4653836215398</v>
      </c>
      <c r="LY76" s="561">
        <f t="shared" si="593"/>
        <v>1003.0335143251419</v>
      </c>
      <c r="LZ76" s="561">
        <f t="shared" si="593"/>
        <v>214.34116089126508</v>
      </c>
      <c r="MA76" s="562">
        <f t="shared" si="593"/>
        <v>1006.040859570228</v>
      </c>
      <c r="MC76" s="167" t="s">
        <v>597</v>
      </c>
      <c r="MD76" s="583">
        <f t="shared" ref="MD76:MU76" si="594">MD35+MD36+MD37+MD38+MD39</f>
        <v>0</v>
      </c>
      <c r="ME76" s="561">
        <f t="shared" si="594"/>
        <v>101.390108</v>
      </c>
      <c r="MF76" s="561">
        <f t="shared" si="594"/>
        <v>208.71189000000001</v>
      </c>
      <c r="MG76" s="561">
        <f t="shared" si="594"/>
        <v>590.93384000000003</v>
      </c>
      <c r="MH76" s="561">
        <f t="shared" si="594"/>
        <v>1238.803872</v>
      </c>
      <c r="MI76" s="562">
        <f t="shared" si="594"/>
        <v>1034.7805350000001</v>
      </c>
      <c r="MJ76" s="583">
        <f t="shared" si="594"/>
        <v>0</v>
      </c>
      <c r="MK76" s="561">
        <f t="shared" si="594"/>
        <v>98.559289765480401</v>
      </c>
      <c r="ML76" s="561">
        <f t="shared" si="594"/>
        <v>251.53401629412932</v>
      </c>
      <c r="MM76" s="561">
        <f t="shared" si="594"/>
        <v>462.96442982904853</v>
      </c>
      <c r="MN76" s="561">
        <f t="shared" si="594"/>
        <v>954.05519300628566</v>
      </c>
      <c r="MO76" s="562">
        <f t="shared" si="594"/>
        <v>830.50871707819533</v>
      </c>
      <c r="MP76" s="583">
        <f t="shared" si="594"/>
        <v>0</v>
      </c>
      <c r="MQ76" s="561">
        <f t="shared" si="594"/>
        <v>86.390221667080709</v>
      </c>
      <c r="MR76" s="561">
        <f t="shared" si="594"/>
        <v>193.0610375699263</v>
      </c>
      <c r="MS76" s="561">
        <f t="shared" si="594"/>
        <v>396.68858626606431</v>
      </c>
      <c r="MT76" s="561">
        <f t="shared" si="594"/>
        <v>866.51368980188295</v>
      </c>
      <c r="MU76" s="562">
        <f t="shared" si="594"/>
        <v>702.02251772348313</v>
      </c>
      <c r="MW76" s="167" t="s">
        <v>597</v>
      </c>
      <c r="MX76" s="583">
        <f t="shared" ref="MX76:NF76" si="595">MX35+MX36+MX37+MX38+MX39</f>
        <v>3190.8241269999999</v>
      </c>
      <c r="MY76" s="561">
        <f t="shared" si="595"/>
        <v>3026.4835849999999</v>
      </c>
      <c r="MZ76" s="561">
        <f t="shared" si="595"/>
        <v>164.340542</v>
      </c>
      <c r="NA76" s="583">
        <f t="shared" si="595"/>
        <v>2610.7296891166911</v>
      </c>
      <c r="NB76" s="561">
        <f t="shared" si="595"/>
        <v>2425.5228402403372</v>
      </c>
      <c r="NC76" s="562">
        <f t="shared" si="595"/>
        <v>185.20684887635392</v>
      </c>
      <c r="ND76" s="583">
        <f t="shared" si="595"/>
        <v>2285.9194296407213</v>
      </c>
      <c r="NE76" s="561">
        <f t="shared" si="595"/>
        <v>2080.079323940834</v>
      </c>
      <c r="NF76" s="562">
        <f t="shared" si="595"/>
        <v>205.8401056998874</v>
      </c>
      <c r="NH76" s="167" t="s">
        <v>597</v>
      </c>
      <c r="NI76" s="583">
        <f t="shared" ref="NI76:NR76" si="596">NI35+NI36+NI37+NI38+NI39</f>
        <v>1649.4598917331391</v>
      </c>
      <c r="NJ76" s="562">
        <f t="shared" si="596"/>
        <v>776.06294850719792</v>
      </c>
      <c r="NK76" s="583">
        <f t="shared" si="596"/>
        <v>124.74896637696533</v>
      </c>
      <c r="NL76" s="561">
        <f t="shared" si="596"/>
        <v>40.6882630483368</v>
      </c>
      <c r="NM76" s="562">
        <f t="shared" si="596"/>
        <v>19.769619451051781</v>
      </c>
      <c r="NN76" s="583">
        <f t="shared" si="596"/>
        <v>1330.5533200431591</v>
      </c>
      <c r="NO76" s="562">
        <f t="shared" si="596"/>
        <v>749.52600389767599</v>
      </c>
      <c r="NP76" s="583">
        <f t="shared" si="596"/>
        <v>169.17467997012909</v>
      </c>
      <c r="NQ76" s="561">
        <f t="shared" si="596"/>
        <v>33.793999020856162</v>
      </c>
      <c r="NR76" s="562">
        <f t="shared" si="596"/>
        <v>2.8714267089022401</v>
      </c>
      <c r="NS76" s="136"/>
      <c r="NT76" s="167" t="s">
        <v>597</v>
      </c>
      <c r="NU76" s="583">
        <f t="shared" ref="NU76:OB76" si="597">NU35+NU36+NU37+NU38+NU39</f>
        <v>397.12582068531333</v>
      </c>
      <c r="NV76" s="561">
        <f t="shared" si="597"/>
        <v>165.68936238583314</v>
      </c>
      <c r="NW76" s="561">
        <f t="shared" si="597"/>
        <v>68.365798074700777</v>
      </c>
      <c r="NX76" s="562">
        <f t="shared" si="597"/>
        <v>144.88196736135063</v>
      </c>
      <c r="NY76" s="583">
        <f t="shared" si="597"/>
        <v>440.91772408157135</v>
      </c>
      <c r="NZ76" s="561">
        <f t="shared" si="597"/>
        <v>149.18073356767451</v>
      </c>
      <c r="OA76" s="561">
        <f t="shared" si="597"/>
        <v>42.488134213352836</v>
      </c>
      <c r="OB76" s="562">
        <f t="shared" si="597"/>
        <v>116.93941203507734</v>
      </c>
      <c r="OC76" s="553"/>
      <c r="OD76" s="167" t="s">
        <v>597</v>
      </c>
      <c r="OE76" s="583">
        <f t="shared" ref="OE76:OR76" si="598">OE35+OE36+OE37+OE38+OE39</f>
        <v>433.20041137299665</v>
      </c>
      <c r="OF76" s="561">
        <f t="shared" si="598"/>
        <v>673.58928404370499</v>
      </c>
      <c r="OG76" s="561">
        <f t="shared" si="598"/>
        <v>461.37255917523396</v>
      </c>
      <c r="OH76" s="561">
        <f t="shared" si="598"/>
        <v>297.70102576362973</v>
      </c>
      <c r="OI76" s="561">
        <f t="shared" si="598"/>
        <v>941.40873020742777</v>
      </c>
      <c r="OJ76" s="561">
        <f t="shared" si="598"/>
        <v>123.99092118055135</v>
      </c>
      <c r="OK76" s="562">
        <f t="shared" si="598"/>
        <v>156.34252158090808</v>
      </c>
      <c r="OL76" s="583">
        <f t="shared" si="598"/>
        <v>549.60572374649405</v>
      </c>
      <c r="OM76" s="561">
        <f t="shared" si="598"/>
        <v>693.94885494770097</v>
      </c>
      <c r="ON76" s="561">
        <f t="shared" si="598"/>
        <v>471.2945316467929</v>
      </c>
      <c r="OO76" s="561">
        <f t="shared" si="598"/>
        <v>309.61534574879033</v>
      </c>
      <c r="OP76" s="561">
        <f t="shared" si="598"/>
        <v>1414.4397691495483</v>
      </c>
      <c r="OQ76" s="561">
        <f t="shared" si="598"/>
        <v>635.01065482620038</v>
      </c>
      <c r="OR76" s="562">
        <f t="shared" si="598"/>
        <v>4830.9206535957437</v>
      </c>
      <c r="OT76" s="167" t="s">
        <v>597</v>
      </c>
      <c r="OU76" s="583">
        <f t="shared" ref="OU76:PF76" si="599">OU35+OU36+OU37+OU38+OU39</f>
        <v>3366.2595209999999</v>
      </c>
      <c r="OV76" s="561">
        <f t="shared" si="599"/>
        <v>1565.5065770000001</v>
      </c>
      <c r="OW76" s="561">
        <f t="shared" si="599"/>
        <v>914.35861599999998</v>
      </c>
      <c r="OX76" s="562">
        <f t="shared" si="599"/>
        <v>880.68881199999998</v>
      </c>
      <c r="OY76" s="583">
        <f t="shared" si="599"/>
        <v>3004.259177114001</v>
      </c>
      <c r="OZ76" s="561">
        <f t="shared" si="599"/>
        <v>1348.8414911945283</v>
      </c>
      <c r="PA76" s="561">
        <f t="shared" si="599"/>
        <v>856.87138892117366</v>
      </c>
      <c r="PB76" s="562">
        <f t="shared" si="599"/>
        <v>1120.4170384014412</v>
      </c>
      <c r="PC76" s="583">
        <f t="shared" si="599"/>
        <v>2242.672962706713</v>
      </c>
      <c r="PD76" s="561">
        <f t="shared" si="599"/>
        <v>1434.4009370870101</v>
      </c>
      <c r="PE76" s="561">
        <f t="shared" si="599"/>
        <v>806.3550501362763</v>
      </c>
      <c r="PF76" s="562">
        <f t="shared" si="599"/>
        <v>1187.1142746577561</v>
      </c>
      <c r="PH76" s="167" t="s">
        <v>597</v>
      </c>
      <c r="PI76" s="583">
        <f t="shared" ref="PI76:PP76" si="600">PI35+PI36+PI37+PI38+PI39</f>
        <v>837.22519810311974</v>
      </c>
      <c r="PJ76" s="561">
        <f t="shared" si="600"/>
        <v>661.97602744055689</v>
      </c>
      <c r="PK76" s="561">
        <f t="shared" si="600"/>
        <v>423.13481014768848</v>
      </c>
      <c r="PL76" s="562">
        <f t="shared" si="600"/>
        <v>615.99986154289354</v>
      </c>
      <c r="PM76" s="583">
        <f t="shared" si="600"/>
        <v>1405.4477646035948</v>
      </c>
      <c r="PN76" s="561">
        <f t="shared" si="600"/>
        <v>772.42490964645299</v>
      </c>
      <c r="PO76" s="561">
        <f t="shared" si="600"/>
        <v>383.22023998858776</v>
      </c>
      <c r="PP76" s="562">
        <f t="shared" si="600"/>
        <v>571.11441311486146</v>
      </c>
      <c r="PQ76" s="65"/>
      <c r="PR76" s="169" t="s">
        <v>597</v>
      </c>
      <c r="PS76" s="1038">
        <f t="shared" ref="PS76:PW76" si="601">PS35+PS36+PS37+PS38+PS39</f>
        <v>61.356964882912273</v>
      </c>
      <c r="PT76" s="1039">
        <f t="shared" si="601"/>
        <v>248.479896339042</v>
      </c>
      <c r="PU76" s="1039">
        <f t="shared" si="601"/>
        <v>148.712174349875</v>
      </c>
      <c r="PV76" s="1039">
        <f t="shared" si="601"/>
        <v>42.428243183755662</v>
      </c>
      <c r="PW76" s="1039">
        <f t="shared" si="601"/>
        <v>883.80790559883485</v>
      </c>
      <c r="PX76" s="1040">
        <f t="shared" ref="PX76" si="602">PX35+PX36+PX37+PX38+PX39</f>
        <v>903.13424731707198</v>
      </c>
      <c r="PZ76" s="169" t="s">
        <v>597</v>
      </c>
      <c r="QA76" s="1038">
        <f t="shared" ref="QA76:QF76" si="603">QA35+QA36+QA37+QA38+QA39</f>
        <v>1523.987125830377</v>
      </c>
      <c r="QB76" s="1039">
        <f t="shared" si="603"/>
        <v>761.93230381034505</v>
      </c>
      <c r="QC76" s="1039">
        <f t="shared" si="603"/>
        <v>563.62183970341937</v>
      </c>
      <c r="QD76" s="1039">
        <f t="shared" ref="QD76" si="604">QD35+QD36+QD37+QD38+QD39</f>
        <v>75.672638790541413</v>
      </c>
      <c r="QE76" s="1039">
        <f t="shared" si="603"/>
        <v>116.40004006279902</v>
      </c>
      <c r="QF76" s="1040">
        <f t="shared" si="603"/>
        <v>6.2377852535851499</v>
      </c>
    </row>
    <row r="77" spans="1:448" ht="13.5" customHeight="1">
      <c r="A77" s="136"/>
      <c r="B77" s="167" t="s">
        <v>598</v>
      </c>
      <c r="C77" s="561">
        <f t="shared" ref="C77" si="605">C40+C41</f>
        <v>3924.3531109999999</v>
      </c>
      <c r="D77" s="561">
        <f t="shared" ref="D77:E77" si="606">D40+D41</f>
        <v>4063.4838229038814</v>
      </c>
      <c r="E77" s="562">
        <f t="shared" si="606"/>
        <v>4122.1745481816306</v>
      </c>
      <c r="F77" s="136"/>
      <c r="G77" s="167" t="s">
        <v>598</v>
      </c>
      <c r="H77" s="318">
        <f t="shared" si="447"/>
        <v>6.9921648211477283E-3</v>
      </c>
      <c r="I77" s="668">
        <f t="shared" si="448"/>
        <v>2.872144115326547E-3</v>
      </c>
      <c r="J77" s="612"/>
      <c r="K77" s="63"/>
      <c r="L77" s="167" t="s">
        <v>598</v>
      </c>
      <c r="M77" s="583">
        <f t="shared" ref="M77:T77" si="607">M40+M41</f>
        <v>59</v>
      </c>
      <c r="N77" s="561">
        <f t="shared" si="607"/>
        <v>56</v>
      </c>
      <c r="O77" s="561">
        <f t="shared" si="607"/>
        <v>51</v>
      </c>
      <c r="P77" s="561">
        <f t="shared" si="607"/>
        <v>39</v>
      </c>
      <c r="Q77" s="561">
        <f t="shared" si="607"/>
        <v>47</v>
      </c>
      <c r="R77" s="561">
        <f t="shared" si="607"/>
        <v>58</v>
      </c>
      <c r="S77" s="561">
        <f t="shared" si="607"/>
        <v>55</v>
      </c>
      <c r="T77" s="561">
        <f t="shared" si="607"/>
        <v>49</v>
      </c>
      <c r="U77" s="561">
        <f t="shared" ref="U77:V77" si="608">U40+U41</f>
        <v>56</v>
      </c>
      <c r="V77" s="561">
        <f t="shared" si="608"/>
        <v>34</v>
      </c>
      <c r="W77" s="562">
        <f t="shared" ref="W77" si="609">W40+W41</f>
        <v>37</v>
      </c>
      <c r="X77" s="167" t="s">
        <v>598</v>
      </c>
      <c r="Y77" s="583">
        <f t="shared" ref="Y77:AB77" si="610">Y40+Y41</f>
        <v>57.5</v>
      </c>
      <c r="Z77" s="561">
        <f t="shared" si="610"/>
        <v>45</v>
      </c>
      <c r="AA77" s="561">
        <f t="shared" si="610"/>
        <v>52.5</v>
      </c>
      <c r="AB77" s="561">
        <f t="shared" si="610"/>
        <v>52</v>
      </c>
      <c r="AC77" s="1206">
        <f t="shared" ref="AC77" si="611">AC40+AC41</f>
        <v>52</v>
      </c>
      <c r="AD77" s="336">
        <f t="shared" si="98"/>
        <v>-0.21739130434782608</v>
      </c>
      <c r="AE77" s="336">
        <f t="shared" si="99"/>
        <v>0.16666666666666666</v>
      </c>
      <c r="AF77" s="336">
        <f t="shared" si="100"/>
        <v>-9.5238095238095247E-3</v>
      </c>
      <c r="AG77" s="1217">
        <f t="shared" si="101"/>
        <v>0</v>
      </c>
      <c r="AN77" s="167" t="s">
        <v>598</v>
      </c>
      <c r="AO77" s="583">
        <f t="shared" ref="AO77:AV77" si="612">AO40+AO41</f>
        <v>0</v>
      </c>
      <c r="AP77" s="561">
        <f t="shared" si="612"/>
        <v>71.745882999999992</v>
      </c>
      <c r="AQ77" s="561">
        <f t="shared" si="612"/>
        <v>134.80186499999999</v>
      </c>
      <c r="AR77" s="561">
        <f t="shared" si="612"/>
        <v>429.07381399999997</v>
      </c>
      <c r="AS77" s="561">
        <f t="shared" si="612"/>
        <v>732.08075699999995</v>
      </c>
      <c r="AT77" s="561">
        <f t="shared" si="612"/>
        <v>516.09088800000006</v>
      </c>
      <c r="AU77" s="561">
        <f t="shared" si="612"/>
        <v>950.05002200000001</v>
      </c>
      <c r="AV77" s="562">
        <f t="shared" si="612"/>
        <v>450.98565000000002</v>
      </c>
      <c r="AW77" s="583">
        <f t="shared" ref="AW77:BD77" si="613">AW40+AW41</f>
        <v>0</v>
      </c>
      <c r="AX77" s="561">
        <f t="shared" si="613"/>
        <v>68.381712696741616</v>
      </c>
      <c r="AY77" s="561">
        <f t="shared" si="613"/>
        <v>226.29173484962215</v>
      </c>
      <c r="AZ77" s="561">
        <f t="shared" si="613"/>
        <v>463.80356423205649</v>
      </c>
      <c r="BA77" s="561">
        <f t="shared" si="613"/>
        <v>627.31441924492947</v>
      </c>
      <c r="BB77" s="561">
        <f t="shared" si="613"/>
        <v>433.75647808151746</v>
      </c>
      <c r="BC77" s="561">
        <f t="shared" si="613"/>
        <v>1052.680626404016</v>
      </c>
      <c r="BD77" s="562">
        <f t="shared" si="613"/>
        <v>502.97274268927202</v>
      </c>
      <c r="BE77" s="583">
        <f t="shared" ref="BE77:BL77" si="614">BE40+BE41</f>
        <v>0</v>
      </c>
      <c r="BF77" s="561">
        <f t="shared" si="614"/>
        <v>37.887321573435003</v>
      </c>
      <c r="BG77" s="561">
        <f t="shared" si="614"/>
        <v>293.05384183677501</v>
      </c>
      <c r="BH77" s="561">
        <f t="shared" si="614"/>
        <v>571.05405042305597</v>
      </c>
      <c r="BI77" s="561">
        <f t="shared" si="614"/>
        <v>576.22648937113195</v>
      </c>
      <c r="BJ77" s="561">
        <f t="shared" si="614"/>
        <v>437.79308989691697</v>
      </c>
      <c r="BK77" s="561">
        <f t="shared" si="614"/>
        <v>941.31085249341299</v>
      </c>
      <c r="BL77" s="562">
        <f t="shared" si="614"/>
        <v>623.67710967577204</v>
      </c>
      <c r="BN77" s="167" t="s">
        <v>598</v>
      </c>
      <c r="BO77" s="583">
        <f t="shared" ref="BO77:BT77" si="615">BO40+BO41</f>
        <v>639.52422899999999</v>
      </c>
      <c r="BP77" s="561">
        <f t="shared" si="615"/>
        <v>744.23817600000007</v>
      </c>
      <c r="BQ77" s="561">
        <f t="shared" si="615"/>
        <v>757.574613</v>
      </c>
      <c r="BR77" s="561">
        <f t="shared" si="615"/>
        <v>774.08962300000007</v>
      </c>
      <c r="BS77" s="561">
        <f t="shared" si="615"/>
        <v>501.03376100000003</v>
      </c>
      <c r="BT77" s="562">
        <f t="shared" si="615"/>
        <v>507.89270899999997</v>
      </c>
      <c r="BU77" s="583">
        <f t="shared" ref="BU77:BZ77" si="616">BU40+BU41</f>
        <v>688.28254470572608</v>
      </c>
      <c r="BV77" s="561">
        <f t="shared" si="616"/>
        <v>780.83162907876135</v>
      </c>
      <c r="BW77" s="561">
        <f t="shared" si="616"/>
        <v>825.29538266643976</v>
      </c>
      <c r="BX77" s="561">
        <f t="shared" si="616"/>
        <v>654.4786351311302</v>
      </c>
      <c r="BY77" s="561">
        <f t="shared" si="616"/>
        <v>515.57469207036786</v>
      </c>
      <c r="BZ77" s="562">
        <f t="shared" si="616"/>
        <v>599.02093925145584</v>
      </c>
      <c r="CA77" s="583">
        <f t="shared" ref="CA77:CF77" si="617">CA40+CA41</f>
        <v>641.17179291113098</v>
      </c>
      <c r="CB77" s="561">
        <f t="shared" si="617"/>
        <v>893.58989762162901</v>
      </c>
      <c r="CC77" s="561">
        <f t="shared" si="617"/>
        <v>793.96499977076098</v>
      </c>
      <c r="CD77" s="561">
        <f t="shared" si="617"/>
        <v>766.13144072155001</v>
      </c>
      <c r="CE77" s="561">
        <f t="shared" si="617"/>
        <v>624.31092927382599</v>
      </c>
      <c r="CF77" s="562">
        <f t="shared" si="617"/>
        <v>403.00548788273397</v>
      </c>
      <c r="CG77" s="429"/>
      <c r="CH77" s="167" t="s">
        <v>598</v>
      </c>
      <c r="CI77" s="583">
        <f t="shared" ref="CI77:CK77" si="618">CI40+CI41</f>
        <v>866.548317</v>
      </c>
      <c r="CJ77" s="561">
        <f t="shared" si="618"/>
        <v>2237.5510159999999</v>
      </c>
      <c r="CK77" s="561">
        <f t="shared" si="618"/>
        <v>820.25377900000001</v>
      </c>
      <c r="CL77" s="583">
        <f t="shared" ref="CL77:CN77" si="619">CL40+CL41</f>
        <v>903.576913536539</v>
      </c>
      <c r="CM77" s="561">
        <f t="shared" si="619"/>
        <v>2247.5229190135888</v>
      </c>
      <c r="CN77" s="561">
        <f t="shared" si="619"/>
        <v>912.38399035375312</v>
      </c>
      <c r="CO77" s="583">
        <f t="shared" ref="CO77:CQ77" si="620">CO40+CO41</f>
        <v>924.78070384818</v>
      </c>
      <c r="CP77" s="561">
        <f t="shared" si="620"/>
        <v>2426.5779008263498</v>
      </c>
      <c r="CQ77" s="562">
        <f t="shared" si="620"/>
        <v>770.81594350709702</v>
      </c>
      <c r="CR77" s="429"/>
      <c r="DG77" s="167" t="s">
        <v>598</v>
      </c>
      <c r="DH77" s="829"/>
      <c r="DI77" s="830"/>
      <c r="DJ77" s="830"/>
      <c r="DK77" s="830"/>
      <c r="DL77" s="830"/>
      <c r="DM77" s="831"/>
      <c r="DO77" s="167" t="s">
        <v>598</v>
      </c>
      <c r="DP77" s="704">
        <f t="shared" ref="DP77:DR77" si="621">DP40+DP41</f>
        <v>2010.6634249999997</v>
      </c>
      <c r="DQ77" s="561">
        <f t="shared" si="621"/>
        <v>2128.8675458643675</v>
      </c>
      <c r="DR77" s="562">
        <f t="shared" si="621"/>
        <v>2205.0339561140099</v>
      </c>
      <c r="DS77" s="63"/>
      <c r="DT77" s="167" t="s">
        <v>598</v>
      </c>
      <c r="DU77" s="583">
        <f t="shared" ref="DU77:DW77" si="622">DU40+DU41</f>
        <v>3924.3531109999999</v>
      </c>
      <c r="DV77" s="561">
        <f t="shared" si="622"/>
        <v>4062.4838236853939</v>
      </c>
      <c r="DW77" s="562">
        <f t="shared" si="622"/>
        <v>4122.1745481816306</v>
      </c>
      <c r="DX77" s="63"/>
      <c r="DY77" s="167" t="s">
        <v>598</v>
      </c>
      <c r="DZ77" s="1092">
        <f t="shared" si="410"/>
        <v>1.9517702775142489</v>
      </c>
      <c r="EA77" s="790">
        <f t="shared" si="411"/>
        <v>1.908283975476706</v>
      </c>
      <c r="EB77" s="779">
        <f t="shared" si="412"/>
        <v>1.8694381266791231</v>
      </c>
      <c r="ED77" s="541"/>
      <c r="EE77" s="167" t="s">
        <v>598</v>
      </c>
      <c r="EF77" s="583">
        <f t="shared" ref="EF77:EJ77" si="623">EF40+EF41</f>
        <v>915.46623700000009</v>
      </c>
      <c r="EG77" s="561">
        <f t="shared" si="623"/>
        <v>76.760643000000002</v>
      </c>
      <c r="EH77" s="561">
        <f t="shared" si="623"/>
        <v>455.20822399999997</v>
      </c>
      <c r="EI77" s="561">
        <f t="shared" si="623"/>
        <v>380.08077900000001</v>
      </c>
      <c r="EJ77" s="561">
        <f t="shared" si="623"/>
        <v>183.14753999999999</v>
      </c>
      <c r="EK77" s="583">
        <f t="shared" ref="EK77:EO77" si="624">EK40+EK41</f>
        <v>963.44406694300449</v>
      </c>
      <c r="EL77" s="561">
        <f t="shared" si="624"/>
        <v>56.09345553589079</v>
      </c>
      <c r="EM77" s="561">
        <f t="shared" si="624"/>
        <v>494.68327647414719</v>
      </c>
      <c r="EN77" s="561">
        <f t="shared" si="624"/>
        <v>344.12914806500305</v>
      </c>
      <c r="EO77" s="561">
        <f t="shared" si="624"/>
        <v>270.51759884632202</v>
      </c>
      <c r="EP77" s="583">
        <f t="shared" ref="EP77:ET77" si="625">EP40+EP41</f>
        <v>1151.2014729718749</v>
      </c>
      <c r="EQ77" s="561">
        <f t="shared" si="625"/>
        <v>77.889816575579104</v>
      </c>
      <c r="ER77" s="561">
        <f t="shared" si="625"/>
        <v>432.74509223452401</v>
      </c>
      <c r="ES77" s="561">
        <f t="shared" si="625"/>
        <v>348.76384754110501</v>
      </c>
      <c r="ET77" s="562">
        <f t="shared" si="625"/>
        <v>194.43372679092118</v>
      </c>
      <c r="EV77" s="167" t="s">
        <v>598</v>
      </c>
      <c r="EW77" s="583">
        <f t="shared" ref="EW77:FD77" si="626">EW40+EW41</f>
        <v>79.077978999999999</v>
      </c>
      <c r="EX77" s="561">
        <f t="shared" si="626"/>
        <v>347.61249899999996</v>
      </c>
      <c r="EY77" s="561">
        <f t="shared" si="626"/>
        <v>328.01512400000001</v>
      </c>
      <c r="EZ77" s="561">
        <f t="shared" si="626"/>
        <v>160.76063399999998</v>
      </c>
      <c r="FA77" s="583">
        <f t="shared" si="626"/>
        <v>512.06756399999995</v>
      </c>
      <c r="FB77" s="561">
        <f t="shared" si="626"/>
        <v>1508.152799</v>
      </c>
      <c r="FC77" s="561">
        <f t="shared" si="626"/>
        <v>957.66665599999999</v>
      </c>
      <c r="FD77" s="561">
        <f t="shared" si="626"/>
        <v>306.94186200000001</v>
      </c>
      <c r="FE77" s="583">
        <f t="shared" ref="FE77:FL77" si="627">FE40+FE41</f>
        <v>88.813969597409397</v>
      </c>
      <c r="FF77" s="561">
        <f t="shared" si="627"/>
        <v>361.45857982536256</v>
      </c>
      <c r="FG77" s="561">
        <f t="shared" si="627"/>
        <v>296.10960263543399</v>
      </c>
      <c r="FH77" s="562">
        <f t="shared" si="627"/>
        <v>217.0619148847986</v>
      </c>
      <c r="FI77" s="583">
        <f t="shared" si="627"/>
        <v>493.65588900760997</v>
      </c>
      <c r="FJ77" s="561">
        <f t="shared" si="627"/>
        <v>1510.4303239580549</v>
      </c>
      <c r="FK77" s="561">
        <f t="shared" si="627"/>
        <v>949.41978314608025</v>
      </c>
      <c r="FL77" s="562">
        <f t="shared" si="627"/>
        <v>420.6952828679224</v>
      </c>
      <c r="FM77" s="703">
        <f t="shared" ref="FM77:FT77" si="628">FM40+FM41</f>
        <v>107.8560565422782</v>
      </c>
      <c r="FN77" s="704">
        <f t="shared" si="628"/>
        <v>537.47738128854007</v>
      </c>
      <c r="FO77" s="704">
        <f t="shared" si="628"/>
        <v>366.38388123422396</v>
      </c>
      <c r="FP77" s="173">
        <f t="shared" si="628"/>
        <v>139.4841539068332</v>
      </c>
      <c r="FQ77" s="703">
        <f t="shared" si="628"/>
        <v>616.04868662113608</v>
      </c>
      <c r="FR77" s="704">
        <f t="shared" si="628"/>
        <v>1606.5922626708211</v>
      </c>
      <c r="FS77" s="704">
        <f t="shared" si="628"/>
        <v>990.17912636910296</v>
      </c>
      <c r="FT77" s="173">
        <f t="shared" si="628"/>
        <v>268.18267960944104</v>
      </c>
      <c r="FV77" s="167" t="s">
        <v>598</v>
      </c>
      <c r="FW77" s="583">
        <f t="shared" ref="FW77:GH77" si="629">FW40+FW41</f>
        <v>495.53634499999998</v>
      </c>
      <c r="FX77" s="561">
        <f t="shared" si="629"/>
        <v>238.607733</v>
      </c>
      <c r="FY77" s="561">
        <f t="shared" si="629"/>
        <v>189.583876</v>
      </c>
      <c r="FZ77" s="562">
        <f t="shared" si="629"/>
        <v>94.708589000000003</v>
      </c>
      <c r="GA77" s="583">
        <f t="shared" si="629"/>
        <v>577.73682706577506</v>
      </c>
      <c r="GB77" s="561">
        <f t="shared" si="629"/>
        <v>259.5955325747675</v>
      </c>
      <c r="GC77" s="561">
        <f t="shared" si="629"/>
        <v>199.01905536256476</v>
      </c>
      <c r="GD77" s="562">
        <f t="shared" si="629"/>
        <v>72.978608382364882</v>
      </c>
      <c r="GE77" s="583">
        <f t="shared" si="629"/>
        <v>489.60393242580199</v>
      </c>
      <c r="GF77" s="561">
        <f t="shared" si="629"/>
        <v>192.1351160535192</v>
      </c>
      <c r="GG77" s="561">
        <f t="shared" si="629"/>
        <v>204.19292870140998</v>
      </c>
      <c r="GH77" s="562">
        <f t="shared" si="629"/>
        <v>94.172799898341395</v>
      </c>
      <c r="GJ77" s="167" t="s">
        <v>598</v>
      </c>
      <c r="GK77" s="561">
        <f t="shared" ref="GK77:GM77" si="630">GK40+GK41</f>
        <v>2205.4975469999999</v>
      </c>
      <c r="GL77" s="561">
        <f t="shared" si="630"/>
        <v>2411.4167153606713</v>
      </c>
      <c r="GM77" s="562">
        <f t="shared" si="630"/>
        <v>2591.0756177957601</v>
      </c>
      <c r="GO77" s="167" t="s">
        <v>598</v>
      </c>
      <c r="GP77" s="583">
        <f t="shared" ref="GP77:GX77" si="631">GP40+GP41</f>
        <v>2010.6634249999997</v>
      </c>
      <c r="GQ77" s="561">
        <f t="shared" si="631"/>
        <v>23.416795</v>
      </c>
      <c r="GR77" s="562">
        <f t="shared" si="631"/>
        <v>171.417326</v>
      </c>
      <c r="GS77" s="583">
        <f t="shared" si="631"/>
        <v>2128.8675458643675</v>
      </c>
      <c r="GT77" s="561">
        <f t="shared" si="631"/>
        <v>106.61257672528285</v>
      </c>
      <c r="GU77" s="562">
        <f t="shared" si="631"/>
        <v>175.93659277102117</v>
      </c>
      <c r="GV77" s="583">
        <f t="shared" si="631"/>
        <v>2205.0339561140099</v>
      </c>
      <c r="GW77" s="561">
        <f t="shared" si="631"/>
        <v>175.95154491362138</v>
      </c>
      <c r="GX77" s="562">
        <f t="shared" si="631"/>
        <v>210.09011676813572</v>
      </c>
      <c r="GZ77" s="167" t="s">
        <v>598</v>
      </c>
      <c r="HA77" s="583">
        <f t="shared" ref="HA77:HI77" si="632">HA40+HA41</f>
        <v>908.50288599999999</v>
      </c>
      <c r="HB77" s="561">
        <f t="shared" si="632"/>
        <v>1284.652679</v>
      </c>
      <c r="HC77" s="562">
        <f t="shared" si="632"/>
        <v>12.341981999999916</v>
      </c>
      <c r="HD77" s="583">
        <f t="shared" si="632"/>
        <v>850.43114733399909</v>
      </c>
      <c r="HE77" s="561">
        <f t="shared" si="632"/>
        <v>1556.5136115600576</v>
      </c>
      <c r="HF77" s="562">
        <f t="shared" si="632"/>
        <v>4.4719564666147562</v>
      </c>
      <c r="HG77" s="583">
        <f t="shared" si="632"/>
        <v>915.38241972866604</v>
      </c>
      <c r="HH77" s="561">
        <f t="shared" si="632"/>
        <v>1675.693198067094</v>
      </c>
      <c r="HI77" s="562">
        <f t="shared" si="632"/>
        <v>0</v>
      </c>
      <c r="HK77" s="167" t="s">
        <v>598</v>
      </c>
      <c r="HL77" s="561">
        <f t="shared" ref="HL77:HO77" si="633">HL40+HL41</f>
        <v>2010.6634249999997</v>
      </c>
      <c r="HM77" s="561">
        <f t="shared" ref="HM77" si="634">HM40+HM41</f>
        <v>7134.5217859999993</v>
      </c>
      <c r="HN77" s="779">
        <f t="shared" si="477"/>
        <v>3.5483421527896946</v>
      </c>
      <c r="HO77" s="583">
        <f t="shared" si="633"/>
        <v>2128.8675458643675</v>
      </c>
      <c r="HP77" s="561">
        <f t="shared" ref="HP77" si="635">HP40+HP41</f>
        <v>7487.5918390101642</v>
      </c>
      <c r="HQ77" s="779">
        <f t="shared" si="479"/>
        <v>3.5171713024400661</v>
      </c>
      <c r="HR77" s="561">
        <f>HR40+HR41</f>
        <v>2205.0339561140099</v>
      </c>
      <c r="HS77" s="561">
        <f>HS40+HS41</f>
        <v>7233.7158332316103</v>
      </c>
      <c r="HT77" s="784">
        <f t="shared" si="480"/>
        <v>3.2805462306711051</v>
      </c>
      <c r="HV77" s="167" t="s">
        <v>598</v>
      </c>
      <c r="HW77" s="583">
        <f>HW40+HW41</f>
        <v>845.29424399999994</v>
      </c>
      <c r="HX77" s="561">
        <f>HX40+HX41</f>
        <v>3505.8986809999997</v>
      </c>
      <c r="HY77" s="790">
        <f t="shared" si="481"/>
        <v>4.1475482719600771</v>
      </c>
      <c r="HZ77" s="561">
        <f>HZ40+HZ41</f>
        <v>1153.0271989999999</v>
      </c>
      <c r="IA77" s="561">
        <f>IA40+IA41</f>
        <v>3601.519472</v>
      </c>
      <c r="IB77" s="790">
        <f t="shared" si="482"/>
        <v>3.1235338378171256</v>
      </c>
      <c r="IC77" s="583">
        <f>IC40+IC41</f>
        <v>773.22410708749487</v>
      </c>
      <c r="ID77" s="561">
        <f>ID40+ID41</f>
        <v>3295.5254689411495</v>
      </c>
      <c r="IE77" s="790">
        <f t="shared" si="483"/>
        <v>4.2620573243046103</v>
      </c>
      <c r="IF77" s="561">
        <f>IF40+IF41</f>
        <v>1351.1714823102579</v>
      </c>
      <c r="IG77" s="561">
        <f>IG40+IG41</f>
        <v>4179.6732401598974</v>
      </c>
      <c r="IH77" s="790">
        <f t="shared" si="126"/>
        <v>3.093369934816427</v>
      </c>
      <c r="II77" s="583">
        <f>II40+II41</f>
        <v>835.09823535218698</v>
      </c>
      <c r="IJ77" s="561">
        <f>IJ40+IJ41</f>
        <v>3462.2691627865497</v>
      </c>
      <c r="IK77" s="790">
        <f t="shared" si="484"/>
        <v>4.1459423768586969</v>
      </c>
      <c r="IL77" s="561">
        <f>IL40+IL41</f>
        <v>1369.9357207618159</v>
      </c>
      <c r="IM77" s="561">
        <f>IM40+IM41</f>
        <v>3771.4466704450497</v>
      </c>
      <c r="IN77" s="779">
        <f t="shared" si="485"/>
        <v>2.753009950238952</v>
      </c>
      <c r="IP77" s="167" t="s">
        <v>598</v>
      </c>
      <c r="IQ77" s="583">
        <f>IQ40+IQ41</f>
        <v>104.26951800000001</v>
      </c>
      <c r="IR77" s="561">
        <f t="shared" ref="IR77:JH77" si="636">IR40+IR41</f>
        <v>231.509704</v>
      </c>
      <c r="IS77" s="561">
        <f t="shared" si="636"/>
        <v>664.96912900000007</v>
      </c>
      <c r="IT77" s="561">
        <f t="shared" si="636"/>
        <v>668.82143999999994</v>
      </c>
      <c r="IU77" s="561">
        <f t="shared" si="636"/>
        <v>341.09363300000001</v>
      </c>
      <c r="IV77" s="561">
        <f t="shared" si="636"/>
        <v>7134.5217859999993</v>
      </c>
      <c r="IW77" s="703">
        <f t="shared" si="636"/>
        <v>126.38621601023448</v>
      </c>
      <c r="IX77" s="704">
        <f t="shared" si="636"/>
        <v>287.25686257670094</v>
      </c>
      <c r="IY77" s="704">
        <f t="shared" si="636"/>
        <v>699.97130867799615</v>
      </c>
      <c r="IZ77" s="704">
        <f t="shared" si="636"/>
        <v>606.04807784058619</v>
      </c>
      <c r="JA77" s="704">
        <f t="shared" si="636"/>
        <v>409.2050807588497</v>
      </c>
      <c r="JB77" s="173">
        <f t="shared" si="636"/>
        <v>7487.5918390101642</v>
      </c>
      <c r="JC77" s="703">
        <f t="shared" si="636"/>
        <v>156.4813192399539</v>
      </c>
      <c r="JD77" s="704">
        <f t="shared" si="636"/>
        <v>502.71851968058797</v>
      </c>
      <c r="JE77" s="704">
        <f t="shared" si="636"/>
        <v>658.90187751346502</v>
      </c>
      <c r="JF77" s="704">
        <f t="shared" si="636"/>
        <v>515.98940958454602</v>
      </c>
      <c r="JG77" s="704">
        <f t="shared" si="636"/>
        <v>370.94283009545097</v>
      </c>
      <c r="JH77" s="173">
        <f t="shared" si="636"/>
        <v>7233.7158332316103</v>
      </c>
      <c r="JJ77" s="167" t="s">
        <v>598</v>
      </c>
      <c r="JK77" s="583">
        <f t="shared" ref="JK77:JV77" si="637">JK40+JK41</f>
        <v>926.02105299999994</v>
      </c>
      <c r="JL77" s="561">
        <f t="shared" si="637"/>
        <v>432.32001000000002</v>
      </c>
      <c r="JM77" s="561">
        <f t="shared" si="637"/>
        <v>624.07518200000004</v>
      </c>
      <c r="JN77" s="562">
        <f t="shared" si="637"/>
        <v>28.24718</v>
      </c>
      <c r="JO77" s="583">
        <f t="shared" si="637"/>
        <v>987.73811390545302</v>
      </c>
      <c r="JP77" s="561">
        <f t="shared" si="637"/>
        <v>445.81801307663244</v>
      </c>
      <c r="JQ77" s="561">
        <f t="shared" si="637"/>
        <v>668.61553185534979</v>
      </c>
      <c r="JR77" s="562">
        <f t="shared" si="637"/>
        <v>26.695887026932439</v>
      </c>
      <c r="JS77" s="583">
        <f t="shared" si="637"/>
        <v>909.85233339045703</v>
      </c>
      <c r="JT77" s="561">
        <f t="shared" si="637"/>
        <v>531.59650473211491</v>
      </c>
      <c r="JU77" s="561">
        <f t="shared" si="637"/>
        <v>744.50017642325201</v>
      </c>
      <c r="JV77" s="562">
        <f t="shared" si="637"/>
        <v>19.084941568179939</v>
      </c>
      <c r="JX77" s="167" t="s">
        <v>598</v>
      </c>
      <c r="JY77" s="583">
        <f t="shared" ref="JY77:KB77" si="638">JY40+JY41</f>
        <v>296.34793649297501</v>
      </c>
      <c r="JZ77" s="561">
        <f t="shared" si="638"/>
        <v>556.84833303278299</v>
      </c>
      <c r="KA77" s="561">
        <f t="shared" si="638"/>
        <v>419.063108067614</v>
      </c>
      <c r="KB77" s="562">
        <f t="shared" si="638"/>
        <v>932.77457852063196</v>
      </c>
      <c r="KC77" s="604"/>
      <c r="KD77" s="167" t="s">
        <v>598</v>
      </c>
      <c r="KE77" s="583">
        <f t="shared" ref="KE77:KV77" si="639">KE40+KE41</f>
        <v>3.4253793495256999</v>
      </c>
      <c r="KF77" s="561">
        <f t="shared" si="639"/>
        <v>37.928244121535919</v>
      </c>
      <c r="KG77" s="561">
        <f t="shared" si="639"/>
        <v>618.40245515168499</v>
      </c>
      <c r="KH77" s="561">
        <f t="shared" si="639"/>
        <v>136.5238509412942</v>
      </c>
      <c r="KI77" s="561">
        <f t="shared" si="639"/>
        <v>190.979216139443</v>
      </c>
      <c r="KJ77" s="562">
        <f t="shared" si="639"/>
        <v>382.67657505833313</v>
      </c>
      <c r="KK77" s="583">
        <f t="shared" si="639"/>
        <v>59.251225103783497</v>
      </c>
      <c r="KL77" s="561">
        <f t="shared" si="639"/>
        <v>303.33107570512999</v>
      </c>
      <c r="KM77" s="561">
        <f t="shared" si="639"/>
        <v>348.97785362995899</v>
      </c>
      <c r="KN77" s="561">
        <f t="shared" si="639"/>
        <v>73.094255317238606</v>
      </c>
      <c r="KO77" s="561">
        <f t="shared" si="639"/>
        <v>20.604284698520971</v>
      </c>
      <c r="KP77" s="562">
        <f t="shared" si="639"/>
        <v>28.745180797197904</v>
      </c>
      <c r="KQ77" s="583">
        <f t="shared" si="639"/>
        <v>62.676604453309196</v>
      </c>
      <c r="KR77" s="561">
        <f t="shared" si="639"/>
        <v>341.25931982666498</v>
      </c>
      <c r="KS77" s="561">
        <f t="shared" si="639"/>
        <v>967.38030878164409</v>
      </c>
      <c r="KT77" s="561">
        <f t="shared" si="639"/>
        <v>209.61810625853289</v>
      </c>
      <c r="KU77" s="561">
        <f t="shared" si="639"/>
        <v>211.5835008379633</v>
      </c>
      <c r="KV77" s="562">
        <f t="shared" si="639"/>
        <v>411.42175585553048</v>
      </c>
      <c r="KW77" s="429"/>
      <c r="KX77" s="167" t="s">
        <v>598</v>
      </c>
      <c r="KY77" s="583">
        <f t="shared" ref="KY77:LA77" si="640">KY40+KY41</f>
        <v>498.59578199999976</v>
      </c>
      <c r="KZ77" s="561">
        <f t="shared" si="640"/>
        <v>1153.3357460000002</v>
      </c>
      <c r="LA77" s="562">
        <f t="shared" si="640"/>
        <v>358.731897</v>
      </c>
      <c r="LB77" s="583">
        <f t="shared" ref="LB77:LD77" si="641">LB40+LB41</f>
        <v>616.80847788648566</v>
      </c>
      <c r="LC77" s="561">
        <f t="shared" si="641"/>
        <v>1205.1343620327802</v>
      </c>
      <c r="LD77" s="562">
        <f t="shared" si="641"/>
        <v>306.92470594510183</v>
      </c>
      <c r="LE77" s="583">
        <f t="shared" ref="LE77:LG77" si="642">LE40+LE41</f>
        <v>629.63008938490782</v>
      </c>
      <c r="LF77" s="561">
        <f t="shared" si="642"/>
        <v>1241.4626861733432</v>
      </c>
      <c r="LG77" s="562">
        <f t="shared" si="642"/>
        <v>333.94118055575905</v>
      </c>
      <c r="LH77" s="426"/>
      <c r="LI77" s="167" t="s">
        <v>598</v>
      </c>
      <c r="LJ77" s="583">
        <f t="shared" ref="LJ77:MA77" si="643">LJ40+LJ41</f>
        <v>1840.75477</v>
      </c>
      <c r="LK77" s="561">
        <f t="shared" si="643"/>
        <v>1597.8958990000001</v>
      </c>
      <c r="LL77" s="561">
        <f t="shared" si="643"/>
        <v>242.85887000000002</v>
      </c>
      <c r="LM77" s="561">
        <f t="shared" si="643"/>
        <v>288.414714</v>
      </c>
      <c r="LN77" s="561">
        <f t="shared" si="643"/>
        <v>199.99634</v>
      </c>
      <c r="LO77" s="562">
        <f t="shared" si="643"/>
        <v>135.40928</v>
      </c>
      <c r="LP77" s="583">
        <f t="shared" si="643"/>
        <v>1854.8059872050912</v>
      </c>
      <c r="LQ77" s="561">
        <f t="shared" si="643"/>
        <v>1576.1147180833377</v>
      </c>
      <c r="LR77" s="561">
        <f t="shared" si="643"/>
        <v>278.69126912175352</v>
      </c>
      <c r="LS77" s="561">
        <f t="shared" si="643"/>
        <v>230.1866058378603</v>
      </c>
      <c r="LT77" s="561">
        <f t="shared" si="643"/>
        <v>166.9782596912101</v>
      </c>
      <c r="LU77" s="562">
        <f t="shared" si="643"/>
        <v>210.84643511024046</v>
      </c>
      <c r="LV77" s="583">
        <f t="shared" si="643"/>
        <v>1936.0330127015009</v>
      </c>
      <c r="LW77" s="561">
        <f t="shared" si="643"/>
        <v>1680.7975800235431</v>
      </c>
      <c r="LX77" s="561">
        <f t="shared" si="643"/>
        <v>255.23543267795498</v>
      </c>
      <c r="LY77" s="561">
        <f t="shared" si="643"/>
        <v>314.18053310715101</v>
      </c>
      <c r="LZ77" s="561">
        <f t="shared" si="643"/>
        <v>205.89147241486938</v>
      </c>
      <c r="MA77" s="562">
        <f t="shared" si="643"/>
        <v>254.08179353988498</v>
      </c>
      <c r="MC77" s="167" t="s">
        <v>598</v>
      </c>
      <c r="MD77" s="583">
        <f t="shared" ref="MD77:MU77" si="644">MD40+MD41</f>
        <v>0</v>
      </c>
      <c r="ME77" s="561">
        <f t="shared" si="644"/>
        <v>64.839608999999996</v>
      </c>
      <c r="MF77" s="561">
        <f t="shared" si="644"/>
        <v>130.032085</v>
      </c>
      <c r="MG77" s="561">
        <f t="shared" si="644"/>
        <v>384.843658</v>
      </c>
      <c r="MH77" s="561">
        <f t="shared" si="644"/>
        <v>617.74749700000007</v>
      </c>
      <c r="MI77" s="562">
        <f t="shared" si="644"/>
        <v>400.43304999999998</v>
      </c>
      <c r="MJ77" s="583">
        <f t="shared" si="644"/>
        <v>0</v>
      </c>
      <c r="MK77" s="561">
        <f t="shared" si="644"/>
        <v>63.909756230126789</v>
      </c>
      <c r="ML77" s="561">
        <f t="shared" si="644"/>
        <v>213.16395907011662</v>
      </c>
      <c r="MM77" s="561">
        <f t="shared" si="644"/>
        <v>403.62512015625225</v>
      </c>
      <c r="MN77" s="561">
        <f t="shared" si="644"/>
        <v>561.28421183043065</v>
      </c>
      <c r="MO77" s="562">
        <f t="shared" si="644"/>
        <v>334.1316707964113</v>
      </c>
      <c r="MP77" s="583">
        <f t="shared" si="644"/>
        <v>0</v>
      </c>
      <c r="MQ77" s="561">
        <f t="shared" si="644"/>
        <v>30.958925117879502</v>
      </c>
      <c r="MR77" s="561">
        <f t="shared" si="644"/>
        <v>278.49815742684001</v>
      </c>
      <c r="MS77" s="561">
        <f t="shared" si="644"/>
        <v>511.97283335845304</v>
      </c>
      <c r="MT77" s="561">
        <f t="shared" si="644"/>
        <v>501.67396925172795</v>
      </c>
      <c r="MU77" s="562">
        <f t="shared" si="644"/>
        <v>357.69369486864298</v>
      </c>
      <c r="MW77" s="167" t="s">
        <v>598</v>
      </c>
      <c r="MX77" s="583">
        <f t="shared" ref="MX77:NF77" si="645">MX40+MX41</f>
        <v>1648.284762</v>
      </c>
      <c r="MY77" s="561">
        <f t="shared" si="645"/>
        <v>1526.104863</v>
      </c>
      <c r="MZ77" s="561">
        <f t="shared" si="645"/>
        <v>122.17989900000001</v>
      </c>
      <c r="NA77" s="583">
        <f t="shared" si="645"/>
        <v>1586.0103970704413</v>
      </c>
      <c r="NB77" s="561">
        <f t="shared" si="645"/>
        <v>1430.5870526597669</v>
      </c>
      <c r="NC77" s="562">
        <f t="shared" si="645"/>
        <v>155.42334441067476</v>
      </c>
      <c r="ND77" s="583">
        <f t="shared" si="645"/>
        <v>1690.6586379777041</v>
      </c>
      <c r="NE77" s="561">
        <f t="shared" si="645"/>
        <v>1566.9781355361802</v>
      </c>
      <c r="NF77" s="562">
        <f t="shared" si="645"/>
        <v>123.680502441524</v>
      </c>
      <c r="NH77" s="167" t="s">
        <v>598</v>
      </c>
      <c r="NI77" s="583">
        <f t="shared" ref="NI77:NR77" si="646">NI40+NI41</f>
        <v>1156.9513781385456</v>
      </c>
      <c r="NJ77" s="562">
        <f t="shared" si="646"/>
        <v>273.63567452122101</v>
      </c>
      <c r="NK77" s="583">
        <f t="shared" si="646"/>
        <v>105.71724870368979</v>
      </c>
      <c r="NL77" s="561">
        <f t="shared" si="646"/>
        <v>45.433446531205746</v>
      </c>
      <c r="NM77" s="562">
        <f t="shared" si="646"/>
        <v>4.2726491757792502</v>
      </c>
      <c r="NN77" s="583">
        <f t="shared" si="646"/>
        <v>1235.816605375333</v>
      </c>
      <c r="NO77" s="562">
        <f t="shared" si="646"/>
        <v>331.16153016084706</v>
      </c>
      <c r="NP77" s="583">
        <f t="shared" si="646"/>
        <v>102.40129969880911</v>
      </c>
      <c r="NQ77" s="561">
        <f t="shared" si="646"/>
        <v>20.331854023875302</v>
      </c>
      <c r="NR77" s="562">
        <f t="shared" si="646"/>
        <v>0.94734871883954197</v>
      </c>
      <c r="NS77" s="136"/>
      <c r="NT77" s="167" t="s">
        <v>598</v>
      </c>
      <c r="NU77" s="583">
        <f t="shared" ref="NU77:OB77" si="647">NU40+NU41</f>
        <v>189.89628163303212</v>
      </c>
      <c r="NV77" s="561">
        <f t="shared" si="647"/>
        <v>38.639800789047698</v>
      </c>
      <c r="NW77" s="561">
        <f t="shared" si="647"/>
        <v>13.396786098145631</v>
      </c>
      <c r="NX77" s="562">
        <f t="shared" si="647"/>
        <v>31.702806000995558</v>
      </c>
      <c r="NY77" s="583">
        <f t="shared" si="647"/>
        <v>208.62605153856032</v>
      </c>
      <c r="NZ77" s="561">
        <f t="shared" si="647"/>
        <v>43.9786176196178</v>
      </c>
      <c r="OA77" s="561">
        <f t="shared" si="647"/>
        <v>3.8420838220040698</v>
      </c>
      <c r="OB77" s="562">
        <f t="shared" si="647"/>
        <v>74.714777180664896</v>
      </c>
      <c r="OC77" s="553"/>
      <c r="OD77" s="167" t="s">
        <v>598</v>
      </c>
      <c r="OE77" s="583">
        <f t="shared" ref="OE77:OR77" si="648">OE40+OE41</f>
        <v>118.1866298134358</v>
      </c>
      <c r="OF77" s="561">
        <f t="shared" si="648"/>
        <v>218.19493740146751</v>
      </c>
      <c r="OG77" s="561">
        <f t="shared" si="648"/>
        <v>164.80529205078051</v>
      </c>
      <c r="OH77" s="561">
        <f t="shared" si="648"/>
        <v>142.7862578723504</v>
      </c>
      <c r="OI77" s="561">
        <f t="shared" si="648"/>
        <v>258.58759482895732</v>
      </c>
      <c r="OJ77" s="561">
        <f t="shared" si="648"/>
        <v>37.657685797923698</v>
      </c>
      <c r="OK77" s="562">
        <f t="shared" si="648"/>
        <v>19.29591550551325</v>
      </c>
      <c r="OL77" s="583">
        <f t="shared" si="648"/>
        <v>174.53380295392282</v>
      </c>
      <c r="OM77" s="561">
        <f t="shared" si="648"/>
        <v>231.6803887208805</v>
      </c>
      <c r="ON77" s="561">
        <f t="shared" si="648"/>
        <v>164.80529205078051</v>
      </c>
      <c r="OO77" s="561">
        <f t="shared" si="648"/>
        <v>149.72237982520841</v>
      </c>
      <c r="OP77" s="561">
        <f t="shared" si="648"/>
        <v>466.32630679592796</v>
      </c>
      <c r="OQ77" s="561">
        <f t="shared" si="648"/>
        <v>277.54121100049326</v>
      </c>
      <c r="OR77" s="562">
        <f t="shared" si="648"/>
        <v>2587.4128576488702</v>
      </c>
      <c r="OT77" s="167" t="s">
        <v>598</v>
      </c>
      <c r="OU77" s="583">
        <f t="shared" ref="OU77:PF77" si="649">OU40+OU41</f>
        <v>1143.2279510000001</v>
      </c>
      <c r="OV77" s="561">
        <f t="shared" si="649"/>
        <v>796.16731700000003</v>
      </c>
      <c r="OW77" s="561">
        <f t="shared" si="649"/>
        <v>440.96706799999998</v>
      </c>
      <c r="OX77" s="562">
        <f t="shared" si="649"/>
        <v>541.10547500000007</v>
      </c>
      <c r="OY77" s="583">
        <f t="shared" si="649"/>
        <v>1113.8471389459544</v>
      </c>
      <c r="OZ77" s="561">
        <f t="shared" si="649"/>
        <v>737.81229063200362</v>
      </c>
      <c r="PA77" s="561">
        <f t="shared" si="649"/>
        <v>398.9650002883011</v>
      </c>
      <c r="PB77" s="562">
        <f t="shared" si="649"/>
        <v>792.36374438661142</v>
      </c>
      <c r="PC77" s="583">
        <f t="shared" si="649"/>
        <v>748.84245414920429</v>
      </c>
      <c r="PD77" s="561">
        <f t="shared" si="649"/>
        <v>773.16614180557804</v>
      </c>
      <c r="PE77" s="561">
        <f t="shared" si="649"/>
        <v>436.94267440874296</v>
      </c>
      <c r="PF77" s="562">
        <f t="shared" si="649"/>
        <v>1063.72403090223</v>
      </c>
      <c r="PH77" s="167" t="s">
        <v>598</v>
      </c>
      <c r="PI77" s="583">
        <f t="shared" ref="PI77:PP77" si="650">PI40+PI41</f>
        <v>301.16318142861007</v>
      </c>
      <c r="PJ77" s="561">
        <f t="shared" si="650"/>
        <v>391.01207402652994</v>
      </c>
      <c r="PK77" s="561">
        <f t="shared" si="650"/>
        <v>196.84863717750909</v>
      </c>
      <c r="PL77" s="562">
        <f t="shared" si="650"/>
        <v>516.64468463104004</v>
      </c>
      <c r="PM77" s="583">
        <f t="shared" si="650"/>
        <v>447.67927272059308</v>
      </c>
      <c r="PN77" s="561">
        <f t="shared" si="650"/>
        <v>382.154067779049</v>
      </c>
      <c r="PO77" s="561">
        <f t="shared" si="650"/>
        <v>240.09403723123427</v>
      </c>
      <c r="PP77" s="562">
        <f t="shared" si="650"/>
        <v>547.07934627119039</v>
      </c>
      <c r="PQ77" s="65"/>
      <c r="PR77" s="169" t="s">
        <v>598</v>
      </c>
      <c r="PS77" s="1038">
        <f t="shared" ref="PS77:PW77" si="651">PS40+PS41</f>
        <v>37.347872152060404</v>
      </c>
      <c r="PT77" s="1039">
        <f t="shared" si="651"/>
        <v>146.10150266242101</v>
      </c>
      <c r="PU77" s="1039">
        <f t="shared" si="651"/>
        <v>102.7454363451658</v>
      </c>
      <c r="PV77" s="1039">
        <f t="shared" si="651"/>
        <v>34.029202068798099</v>
      </c>
      <c r="PW77" s="1039">
        <f t="shared" si="651"/>
        <v>980.83358468954998</v>
      </c>
      <c r="PX77" s="1040">
        <f t="shared" ref="PX77" si="652">PX40+PX41</f>
        <v>389.60104005970902</v>
      </c>
      <c r="PZ77" s="169" t="s">
        <v>598</v>
      </c>
      <c r="QA77" s="1038">
        <f t="shared" ref="QA77:QF77" si="653">QA40+QA41</f>
        <v>1029.9408593175829</v>
      </c>
      <c r="QB77" s="1039">
        <f t="shared" si="653"/>
        <v>660.71777866012008</v>
      </c>
      <c r="QC77" s="1039">
        <f t="shared" si="653"/>
        <v>511.17906274089</v>
      </c>
      <c r="QD77" s="1039">
        <f t="shared" ref="QD77" si="654">QD40+QD41</f>
        <v>51.272286321003293</v>
      </c>
      <c r="QE77" s="1039">
        <f t="shared" si="653"/>
        <v>98.266429598227404</v>
      </c>
      <c r="QF77" s="1040">
        <f t="shared" si="653"/>
        <v>0</v>
      </c>
    </row>
    <row r="78" spans="1:448" ht="13.5" customHeight="1">
      <c r="A78" s="136"/>
      <c r="B78" s="167" t="s">
        <v>564</v>
      </c>
      <c r="C78" s="621">
        <f t="shared" ref="C78" si="655">C42</f>
        <v>2043.0747510000001</v>
      </c>
      <c r="D78" s="621">
        <f t="shared" ref="D78:E78" si="656">D42</f>
        <v>1549.5197019838492</v>
      </c>
      <c r="E78" s="622">
        <f t="shared" si="656"/>
        <v>1752.9863787046299</v>
      </c>
      <c r="F78" s="136"/>
      <c r="G78" s="167" t="s">
        <v>564</v>
      </c>
      <c r="H78" s="684">
        <f t="shared" si="447"/>
        <v>-5.3800815975436622E-2</v>
      </c>
      <c r="I78" s="671">
        <f t="shared" si="448"/>
        <v>2.4982115844582209E-2</v>
      </c>
      <c r="J78" s="685"/>
      <c r="K78" s="63"/>
      <c r="L78" s="167" t="s">
        <v>564</v>
      </c>
      <c r="M78" s="624">
        <f t="shared" ref="M78:T78" si="657">M42</f>
        <v>30</v>
      </c>
      <c r="N78" s="621">
        <f t="shared" si="657"/>
        <v>29</v>
      </c>
      <c r="O78" s="621">
        <f t="shared" si="657"/>
        <v>23</v>
      </c>
      <c r="P78" s="621">
        <f t="shared" si="657"/>
        <v>34</v>
      </c>
      <c r="Q78" s="621">
        <f t="shared" si="657"/>
        <v>35</v>
      </c>
      <c r="R78" s="621">
        <f t="shared" si="657"/>
        <v>23</v>
      </c>
      <c r="S78" s="621">
        <f t="shared" si="657"/>
        <v>29</v>
      </c>
      <c r="T78" s="621">
        <f t="shared" si="657"/>
        <v>30</v>
      </c>
      <c r="U78" s="621">
        <f t="shared" ref="U78:V78" si="658">U42</f>
        <v>40</v>
      </c>
      <c r="V78" s="621">
        <f t="shared" si="658"/>
        <v>27</v>
      </c>
      <c r="W78" s="622">
        <f t="shared" ref="W78" si="659">W42</f>
        <v>25</v>
      </c>
      <c r="X78" s="167" t="s">
        <v>564</v>
      </c>
      <c r="Y78" s="624">
        <f t="shared" ref="Y78:AB78" si="660">Y42</f>
        <v>29.5</v>
      </c>
      <c r="Z78" s="621">
        <f t="shared" si="660"/>
        <v>28.5</v>
      </c>
      <c r="AA78" s="621">
        <f t="shared" si="660"/>
        <v>29</v>
      </c>
      <c r="AB78" s="621">
        <f t="shared" si="660"/>
        <v>29.5</v>
      </c>
      <c r="AC78" s="1207">
        <f t="shared" ref="AC78" si="661">AC42</f>
        <v>29.5</v>
      </c>
      <c r="AD78" s="676">
        <f t="shared" si="98"/>
        <v>-3.3898305084745763E-2</v>
      </c>
      <c r="AE78" s="676">
        <f t="shared" si="99"/>
        <v>1.7543859649122806E-2</v>
      </c>
      <c r="AF78" s="676">
        <f t="shared" si="100"/>
        <v>1.7241379310344827E-2</v>
      </c>
      <c r="AG78" s="1218">
        <f t="shared" si="101"/>
        <v>0</v>
      </c>
      <c r="AN78" s="167" t="s">
        <v>564</v>
      </c>
      <c r="AO78" s="624">
        <f t="shared" ref="AO78:AV78" si="662">AO42</f>
        <v>3.5594830000000002</v>
      </c>
      <c r="AP78" s="621">
        <f t="shared" si="662"/>
        <v>28.490722999999999</v>
      </c>
      <c r="AQ78" s="621">
        <f t="shared" si="662"/>
        <v>35.854461000000001</v>
      </c>
      <c r="AR78" s="621">
        <f t="shared" si="662"/>
        <v>122.79405800000001</v>
      </c>
      <c r="AS78" s="621">
        <f t="shared" si="662"/>
        <v>387.33746200000002</v>
      </c>
      <c r="AT78" s="621">
        <f t="shared" si="662"/>
        <v>323.16993500000001</v>
      </c>
      <c r="AU78" s="621">
        <f t="shared" si="662"/>
        <v>438.98113499999999</v>
      </c>
      <c r="AV78" s="622">
        <f t="shared" si="662"/>
        <v>273.26649300000003</v>
      </c>
      <c r="AW78" s="624">
        <f t="shared" ref="AW78:BD78" si="663">AW42</f>
        <v>0</v>
      </c>
      <c r="AX78" s="621">
        <f t="shared" si="663"/>
        <v>24.303638737317662</v>
      </c>
      <c r="AY78" s="621">
        <f t="shared" si="663"/>
        <v>40.658039905487243</v>
      </c>
      <c r="AZ78" s="621">
        <f t="shared" si="663"/>
        <v>86.041213872996238</v>
      </c>
      <c r="BA78" s="621">
        <f t="shared" si="663"/>
        <v>202.97879916348208</v>
      </c>
      <c r="BB78" s="621">
        <f t="shared" si="663"/>
        <v>159.79417211884268</v>
      </c>
      <c r="BC78" s="621">
        <f t="shared" si="663"/>
        <v>606.3825317975294</v>
      </c>
      <c r="BD78" s="622">
        <f t="shared" si="663"/>
        <v>192.93819464686055</v>
      </c>
      <c r="BE78" s="624">
        <f t="shared" ref="BE78:BL78" si="664">BE42</f>
        <v>0.92835999661978696</v>
      </c>
      <c r="BF78" s="621">
        <f t="shared" si="664"/>
        <v>53.020628028798299</v>
      </c>
      <c r="BG78" s="621">
        <f t="shared" si="664"/>
        <v>52.600533334796097</v>
      </c>
      <c r="BH78" s="621">
        <f t="shared" si="664"/>
        <v>99.981357988201793</v>
      </c>
      <c r="BI78" s="621">
        <f t="shared" si="664"/>
        <v>193.73671849754001</v>
      </c>
      <c r="BJ78" s="621">
        <f t="shared" si="664"/>
        <v>186.65772240644401</v>
      </c>
      <c r="BK78" s="621">
        <f t="shared" si="664"/>
        <v>550.24786793276303</v>
      </c>
      <c r="BL78" s="622">
        <f t="shared" si="664"/>
        <v>311.86658672746199</v>
      </c>
      <c r="BN78" s="167" t="s">
        <v>564</v>
      </c>
      <c r="BO78" s="624">
        <f t="shared" ref="BO78:BT78" si="665">BO42</f>
        <v>433.62099599999999</v>
      </c>
      <c r="BP78" s="621">
        <f t="shared" si="665"/>
        <v>350.02727499999997</v>
      </c>
      <c r="BQ78" s="621">
        <f t="shared" si="665"/>
        <v>382.286946</v>
      </c>
      <c r="BR78" s="621">
        <f t="shared" si="665"/>
        <v>358.92400300000003</v>
      </c>
      <c r="BS78" s="621">
        <f t="shared" si="665"/>
        <v>290.281904</v>
      </c>
      <c r="BT78" s="622">
        <f t="shared" si="665"/>
        <v>227.933626</v>
      </c>
      <c r="BU78" s="624">
        <f t="shared" ref="BU78:BZ78" si="666">BU42</f>
        <v>234.42311330435879</v>
      </c>
      <c r="BV78" s="621">
        <f t="shared" si="666"/>
        <v>238.43384236296757</v>
      </c>
      <c r="BW78" s="621">
        <f t="shared" si="666"/>
        <v>240.28399154484751</v>
      </c>
      <c r="BX78" s="621">
        <f t="shared" si="666"/>
        <v>202.49037804322359</v>
      </c>
      <c r="BY78" s="621">
        <f t="shared" si="666"/>
        <v>309.82871638861042</v>
      </c>
      <c r="BZ78" s="622">
        <f t="shared" si="666"/>
        <v>324.0596603398414</v>
      </c>
      <c r="CA78" s="624">
        <f t="shared" ref="CA78:CF78" si="667">CA42</f>
        <v>301.94660176123199</v>
      </c>
      <c r="CB78" s="621">
        <f t="shared" si="667"/>
        <v>295.60328419185402</v>
      </c>
      <c r="CC78" s="621">
        <f t="shared" si="667"/>
        <v>294.22736820429901</v>
      </c>
      <c r="CD78" s="621">
        <f t="shared" si="667"/>
        <v>240.04512231319501</v>
      </c>
      <c r="CE78" s="621">
        <f t="shared" si="667"/>
        <v>331.23354993445702</v>
      </c>
      <c r="CF78" s="622">
        <f t="shared" si="667"/>
        <v>289.93045229958898</v>
      </c>
      <c r="CG78" s="429"/>
      <c r="CH78" s="167" t="s">
        <v>564</v>
      </c>
      <c r="CI78" s="583">
        <f t="shared" ref="CI78:CK78" si="668">CI42</f>
        <v>547.171874</v>
      </c>
      <c r="CJ78" s="561">
        <f t="shared" si="668"/>
        <v>1074.061678</v>
      </c>
      <c r="CK78" s="561">
        <f t="shared" si="668"/>
        <v>421.84120000000001</v>
      </c>
      <c r="CL78" s="583">
        <f t="shared" ref="CL78:CN78" si="669">CL42</f>
        <v>278.88824921862584</v>
      </c>
      <c r="CM78" s="561">
        <f t="shared" si="669"/>
        <v>722.60716473971775</v>
      </c>
      <c r="CN78" s="561">
        <f t="shared" si="669"/>
        <v>548.0242880255056</v>
      </c>
      <c r="CO78" s="583">
        <f t="shared" ref="CO78:CQ78" si="670">CO42</f>
        <v>387.43977897145101</v>
      </c>
      <c r="CP78" s="561">
        <f t="shared" si="670"/>
        <v>831.44519820280095</v>
      </c>
      <c r="CQ78" s="562">
        <f t="shared" si="670"/>
        <v>534.10140153037605</v>
      </c>
      <c r="CR78" s="429"/>
      <c r="DG78" s="167" t="s">
        <v>564</v>
      </c>
      <c r="DH78" s="829"/>
      <c r="DI78" s="830"/>
      <c r="DJ78" s="830"/>
      <c r="DK78" s="830"/>
      <c r="DL78" s="830"/>
      <c r="DM78" s="831"/>
      <c r="DO78" s="167" t="s">
        <v>564</v>
      </c>
      <c r="DP78" s="706">
        <f t="shared" ref="DP78:DR78" si="671">DP42</f>
        <v>986.30098199999998</v>
      </c>
      <c r="DQ78" s="621">
        <f t="shared" si="671"/>
        <v>915.296339771558</v>
      </c>
      <c r="DR78" s="622">
        <f t="shared" si="671"/>
        <v>893.47945751965199</v>
      </c>
      <c r="DS78" s="63"/>
      <c r="DT78" s="167" t="s">
        <v>564</v>
      </c>
      <c r="DU78" s="624">
        <f t="shared" ref="DU78:DW78" si="672">DU42</f>
        <v>2039.074756</v>
      </c>
      <c r="DV78" s="621">
        <f t="shared" si="672"/>
        <v>1543.5197066729256</v>
      </c>
      <c r="DW78" s="622">
        <f t="shared" si="672"/>
        <v>1575.9861989814799</v>
      </c>
      <c r="DX78" s="63"/>
      <c r="DY78" s="167" t="s">
        <v>564</v>
      </c>
      <c r="DZ78" s="1093">
        <f t="shared" si="410"/>
        <v>2.0673960517257197</v>
      </c>
      <c r="EA78" s="798">
        <f t="shared" si="411"/>
        <v>1.6863606239899978</v>
      </c>
      <c r="EB78" s="799">
        <f t="shared" si="412"/>
        <v>1.7638751352566113</v>
      </c>
      <c r="ED78" s="541"/>
      <c r="EE78" s="167" t="s">
        <v>564</v>
      </c>
      <c r="EF78" s="583">
        <f t="shared" ref="EF78:EJ78" si="673">EF42</f>
        <v>466.01984299999998</v>
      </c>
      <c r="EG78" s="561">
        <f t="shared" si="673"/>
        <v>10.101729000000001</v>
      </c>
      <c r="EH78" s="561">
        <f t="shared" si="673"/>
        <v>186.01281499999999</v>
      </c>
      <c r="EI78" s="561">
        <f t="shared" si="673"/>
        <v>201.18789799999999</v>
      </c>
      <c r="EJ78" s="561">
        <f t="shared" si="673"/>
        <v>122.97869799999999</v>
      </c>
      <c r="EK78" s="583">
        <f t="shared" ref="EK78:EO78" si="674">EK42</f>
        <v>507.33288262593283</v>
      </c>
      <c r="EL78" s="561">
        <f t="shared" si="674"/>
        <v>21.518813854821012</v>
      </c>
      <c r="EM78" s="561">
        <f t="shared" si="674"/>
        <v>199.28987609128703</v>
      </c>
      <c r="EN78" s="561">
        <f t="shared" si="674"/>
        <v>90.088792766952835</v>
      </c>
      <c r="EO78" s="561">
        <f t="shared" si="674"/>
        <v>97.065974432564161</v>
      </c>
      <c r="EP78" s="583">
        <f t="shared" ref="EP78:ET78" si="675">EP42</f>
        <v>495.76214204543101</v>
      </c>
      <c r="EQ78" s="561">
        <f t="shared" si="675"/>
        <v>18.524708316519799</v>
      </c>
      <c r="ER78" s="561">
        <f t="shared" si="675"/>
        <v>171.238355971467</v>
      </c>
      <c r="ES78" s="561">
        <f t="shared" si="675"/>
        <v>95.7341692466631</v>
      </c>
      <c r="ET78" s="562">
        <f t="shared" si="675"/>
        <v>112.220081939571</v>
      </c>
      <c r="EU78" s="561"/>
      <c r="EV78" s="167" t="s">
        <v>564</v>
      </c>
      <c r="EW78" s="624">
        <f t="shared" ref="EW78:FD78" si="676">EW42</f>
        <v>26.228711000000001</v>
      </c>
      <c r="EX78" s="621">
        <f t="shared" si="676"/>
        <v>187.58913200000001</v>
      </c>
      <c r="EY78" s="621">
        <f t="shared" si="676"/>
        <v>186.137035</v>
      </c>
      <c r="EZ78" s="622">
        <f t="shared" si="676"/>
        <v>66.064964000000003</v>
      </c>
      <c r="FA78" s="624">
        <f t="shared" si="676"/>
        <v>226.39526599999999</v>
      </c>
      <c r="FB78" s="621">
        <f t="shared" si="676"/>
        <v>745.45570999999995</v>
      </c>
      <c r="FC78" s="621">
        <f t="shared" si="676"/>
        <v>503.36635000000001</v>
      </c>
      <c r="FD78" s="621">
        <f t="shared" si="676"/>
        <v>130.236434</v>
      </c>
      <c r="FE78" s="624">
        <f t="shared" ref="FE78:FL78" si="677">FE42</f>
        <v>32.873801959016113</v>
      </c>
      <c r="FF78" s="621">
        <f t="shared" si="677"/>
        <v>154.54319364379879</v>
      </c>
      <c r="FG78" s="621">
        <f t="shared" si="677"/>
        <v>206.44777659760069</v>
      </c>
      <c r="FH78" s="622">
        <f t="shared" si="677"/>
        <v>113.4681104255172</v>
      </c>
      <c r="FI78" s="624">
        <f t="shared" si="677"/>
        <v>146.85176537269894</v>
      </c>
      <c r="FJ78" s="621">
        <f t="shared" si="677"/>
        <v>452.64958096004324</v>
      </c>
      <c r="FK78" s="621">
        <f t="shared" si="677"/>
        <v>490.91102619566885</v>
      </c>
      <c r="FL78" s="622">
        <f t="shared" si="677"/>
        <v>218.68422084015572</v>
      </c>
      <c r="FM78" s="705">
        <f t="shared" ref="FM78:FT78" si="678">FM42</f>
        <v>38.147814183587599</v>
      </c>
      <c r="FN78" s="706">
        <f t="shared" si="678"/>
        <v>160.838021020486</v>
      </c>
      <c r="FO78" s="706">
        <f t="shared" si="678"/>
        <v>196.24973666966301</v>
      </c>
      <c r="FP78" s="618">
        <f t="shared" si="678"/>
        <v>100.526570171695</v>
      </c>
      <c r="FQ78" s="705">
        <f t="shared" si="678"/>
        <v>156.04734004938001</v>
      </c>
      <c r="FR78" s="706">
        <f t="shared" si="678"/>
        <v>500.79488112973002</v>
      </c>
      <c r="FS78" s="706">
        <f t="shared" si="678"/>
        <v>458.29364280198598</v>
      </c>
      <c r="FT78" s="618">
        <f t="shared" si="678"/>
        <v>182.903757608391</v>
      </c>
      <c r="FV78" s="167" t="s">
        <v>564</v>
      </c>
      <c r="FW78" s="583">
        <f t="shared" ref="FW78:GH78" si="679">FW42</f>
        <v>220.64567</v>
      </c>
      <c r="FX78" s="561">
        <f t="shared" si="679"/>
        <v>133.75160199999999</v>
      </c>
      <c r="FY78" s="561">
        <f t="shared" si="679"/>
        <v>89.982322999999994</v>
      </c>
      <c r="FZ78" s="562">
        <f t="shared" si="679"/>
        <v>69.998992999999999</v>
      </c>
      <c r="GA78" s="583">
        <f t="shared" si="679"/>
        <v>211.95398399259605</v>
      </c>
      <c r="GB78" s="561">
        <f t="shared" si="679"/>
        <v>96.378461260840979</v>
      </c>
      <c r="GC78" s="561">
        <f t="shared" si="679"/>
        <v>45.271713136004657</v>
      </c>
      <c r="GD78" s="562">
        <f t="shared" si="679"/>
        <v>32.840484901362352</v>
      </c>
      <c r="GE78" s="583">
        <f t="shared" si="679"/>
        <v>195.845691539424</v>
      </c>
      <c r="GF78" s="561">
        <f t="shared" si="679"/>
        <v>83.579636307906497</v>
      </c>
      <c r="GG78" s="561">
        <f t="shared" si="679"/>
        <v>53.816974452689102</v>
      </c>
      <c r="GH78" s="562">
        <f t="shared" si="679"/>
        <v>46.878664854301604</v>
      </c>
      <c r="GJ78" s="167" t="s">
        <v>564</v>
      </c>
      <c r="GK78" s="621">
        <f t="shared" ref="GK78:GM78" si="680">GK42</f>
        <v>1074.498797</v>
      </c>
      <c r="GL78" s="621">
        <f t="shared" si="680"/>
        <v>1072.4992846836983</v>
      </c>
      <c r="GM78" s="622">
        <f t="shared" si="680"/>
        <v>1064.0009072247301</v>
      </c>
      <c r="GO78" s="167" t="s">
        <v>564</v>
      </c>
      <c r="GP78" s="624">
        <f t="shared" ref="GP78:GX78" si="681">GP42</f>
        <v>986.30098199999998</v>
      </c>
      <c r="GQ78" s="621">
        <f t="shared" si="681"/>
        <v>0.98375999999999997</v>
      </c>
      <c r="GR78" s="622">
        <f t="shared" si="681"/>
        <v>87.214055000000002</v>
      </c>
      <c r="GS78" s="624">
        <f t="shared" si="681"/>
        <v>915.296339771558</v>
      </c>
      <c r="GT78" s="621">
        <f t="shared" si="681"/>
        <v>14.02465040249279</v>
      </c>
      <c r="GU78" s="622">
        <f t="shared" si="681"/>
        <v>143.17829450964788</v>
      </c>
      <c r="GV78" s="624">
        <f t="shared" si="681"/>
        <v>893.47945751965199</v>
      </c>
      <c r="GW78" s="621">
        <f t="shared" si="681"/>
        <v>22.602890929009099</v>
      </c>
      <c r="GX78" s="622">
        <f t="shared" si="681"/>
        <v>147.91855877607301</v>
      </c>
      <c r="GZ78" s="167" t="s">
        <v>564</v>
      </c>
      <c r="HA78" s="583">
        <f t="shared" ref="HA78:HI78" si="682">HA42</f>
        <v>0</v>
      </c>
      <c r="HB78" s="561">
        <f t="shared" si="682"/>
        <v>1070.9393130000001</v>
      </c>
      <c r="HC78" s="562">
        <f t="shared" si="682"/>
        <v>3.559483999999884</v>
      </c>
      <c r="HD78" s="583">
        <f t="shared" si="682"/>
        <v>2.973780022939839</v>
      </c>
      <c r="HE78" s="561">
        <f t="shared" si="682"/>
        <v>1069.5255046607588</v>
      </c>
      <c r="HF78" s="562">
        <f t="shared" si="682"/>
        <v>0</v>
      </c>
      <c r="HG78" s="583">
        <f t="shared" si="682"/>
        <v>2.0329616051995099</v>
      </c>
      <c r="HH78" s="561">
        <f t="shared" si="682"/>
        <v>1055.91032912111</v>
      </c>
      <c r="HI78" s="562">
        <f t="shared" si="682"/>
        <v>6.0576164984206571</v>
      </c>
      <c r="HK78" s="167" t="s">
        <v>564</v>
      </c>
      <c r="HL78" s="561">
        <f t="shared" ref="HL78:HO78" si="683">HL42</f>
        <v>986.30098199999998</v>
      </c>
      <c r="HM78" s="561">
        <f t="shared" ref="HM78" si="684">HM42</f>
        <v>3276.4697390000001</v>
      </c>
      <c r="HN78" s="779">
        <f t="shared" si="477"/>
        <v>3.321977569520457</v>
      </c>
      <c r="HO78" s="583">
        <f t="shared" si="683"/>
        <v>915.296339771558</v>
      </c>
      <c r="HP78" s="561">
        <f t="shared" ref="HP78" si="685">HP42</f>
        <v>2965.5143527220871</v>
      </c>
      <c r="HQ78" s="779">
        <f t="shared" si="479"/>
        <v>3.2399499745210689</v>
      </c>
      <c r="HR78" s="561">
        <f>HR42</f>
        <v>893.47945751965199</v>
      </c>
      <c r="HS78" s="561">
        <f>HS42</f>
        <v>2811.7432812965199</v>
      </c>
      <c r="HT78" s="784">
        <f t="shared" si="480"/>
        <v>3.1469590684290307</v>
      </c>
      <c r="HV78" s="167" t="s">
        <v>564</v>
      </c>
      <c r="HW78" s="624">
        <f>HW42</f>
        <v>0</v>
      </c>
      <c r="HX78" s="621">
        <f>HX42</f>
        <v>0</v>
      </c>
      <c r="HY78" s="798" t="e">
        <f t="shared" si="481"/>
        <v>#DIV/0!</v>
      </c>
      <c r="HZ78" s="621">
        <f>HZ42</f>
        <v>982.74149899999998</v>
      </c>
      <c r="IA78" s="621">
        <f>IA42</f>
        <v>3258.6723229999998</v>
      </c>
      <c r="IB78" s="798">
        <f t="shared" si="482"/>
        <v>3.3158997827159022</v>
      </c>
      <c r="IC78" s="624">
        <f>IC42</f>
        <v>2.973780022939839</v>
      </c>
      <c r="ID78" s="621">
        <f>ID42</f>
        <v>5.947560045879678</v>
      </c>
      <c r="IE78" s="798">
        <v>0</v>
      </c>
      <c r="IF78" s="621">
        <f>IF42</f>
        <v>912.322559748618</v>
      </c>
      <c r="IG78" s="621">
        <f>IG42</f>
        <v>2959.5667926762071</v>
      </c>
      <c r="IH78" s="799">
        <f t="shared" si="126"/>
        <v>3.2439916793153598</v>
      </c>
      <c r="II78" s="624">
        <f>II42</f>
        <v>2.0329616051995099</v>
      </c>
      <c r="IJ78" s="621">
        <f>IJ42</f>
        <v>2.9613216018193</v>
      </c>
      <c r="IK78" s="798">
        <f t="shared" si="484"/>
        <v>1.4566539743030136</v>
      </c>
      <c r="IL78" s="621">
        <f>IL42</f>
        <v>886.31723847000205</v>
      </c>
      <c r="IM78" s="621">
        <f>IM42</f>
        <v>2790.1216499101401</v>
      </c>
      <c r="IN78" s="799">
        <f t="shared" si="485"/>
        <v>3.147994339731635</v>
      </c>
      <c r="IP78" s="167" t="s">
        <v>564</v>
      </c>
      <c r="IQ78" s="624">
        <f>IQ42</f>
        <v>92.473309</v>
      </c>
      <c r="IR78" s="621">
        <f t="shared" ref="IR78:JH78" si="686">IR42</f>
        <v>157.738652</v>
      </c>
      <c r="IS78" s="621">
        <f t="shared" si="686"/>
        <v>266.10007300000001</v>
      </c>
      <c r="IT78" s="621">
        <f t="shared" si="686"/>
        <v>324.51125999999999</v>
      </c>
      <c r="IU78" s="621">
        <f t="shared" si="686"/>
        <v>145.477688</v>
      </c>
      <c r="IV78" s="621">
        <f t="shared" si="686"/>
        <v>3276.4697390000001</v>
      </c>
      <c r="IW78" s="705">
        <f t="shared" si="686"/>
        <v>103.25326250192563</v>
      </c>
      <c r="IX78" s="706">
        <f t="shared" si="686"/>
        <v>138.06565995001145</v>
      </c>
      <c r="IY78" s="706">
        <f t="shared" si="686"/>
        <v>255.9232313880166</v>
      </c>
      <c r="IZ78" s="706">
        <f t="shared" si="686"/>
        <v>300.11464643325377</v>
      </c>
      <c r="JA78" s="706">
        <f t="shared" si="686"/>
        <v>117.93953949835036</v>
      </c>
      <c r="JB78" s="618">
        <f t="shared" si="686"/>
        <v>2965.5143527220871</v>
      </c>
      <c r="JC78" s="705">
        <f t="shared" si="686"/>
        <v>97.502940354796195</v>
      </c>
      <c r="JD78" s="706">
        <f t="shared" si="686"/>
        <v>222.95419997813099</v>
      </c>
      <c r="JE78" s="706">
        <f t="shared" si="686"/>
        <v>158.88314926569001</v>
      </c>
      <c r="JF78" s="706">
        <f t="shared" si="686"/>
        <v>293.13325445984702</v>
      </c>
      <c r="JG78" s="706">
        <f t="shared" si="686"/>
        <v>121.005913461188</v>
      </c>
      <c r="JH78" s="618">
        <f t="shared" si="686"/>
        <v>2811.7432812965199</v>
      </c>
      <c r="JJ78" s="167" t="s">
        <v>564</v>
      </c>
      <c r="JK78" s="624">
        <f t="shared" ref="JK78:JV78" si="687">JK42</f>
        <v>223.66954699999999</v>
      </c>
      <c r="JL78" s="621">
        <f t="shared" si="687"/>
        <v>35.940334000000007</v>
      </c>
      <c r="JM78" s="621">
        <f t="shared" si="687"/>
        <v>708.47972200000004</v>
      </c>
      <c r="JN78" s="622">
        <f t="shared" si="687"/>
        <v>18.211379000000001</v>
      </c>
      <c r="JO78" s="624">
        <f t="shared" si="687"/>
        <v>413.60176416459393</v>
      </c>
      <c r="JP78" s="621">
        <f t="shared" si="687"/>
        <v>44.723712081875306</v>
      </c>
      <c r="JQ78" s="621">
        <f t="shared" si="687"/>
        <v>455.979603517442</v>
      </c>
      <c r="JR78" s="622">
        <f t="shared" si="687"/>
        <v>0.99126000764661304</v>
      </c>
      <c r="JS78" s="624">
        <f t="shared" si="687"/>
        <v>361.072162911112</v>
      </c>
      <c r="JT78" s="621">
        <f t="shared" si="687"/>
        <v>70.54794561065296</v>
      </c>
      <c r="JU78" s="621">
        <f t="shared" si="687"/>
        <v>460.00262900464702</v>
      </c>
      <c r="JV78" s="622">
        <f t="shared" si="687"/>
        <v>1.8567199932395699</v>
      </c>
      <c r="JX78" s="167" t="s">
        <v>564</v>
      </c>
      <c r="JY78" s="624">
        <f t="shared" ref="JY78:KB78" si="688">JY42</f>
        <v>128.07293955407499</v>
      </c>
      <c r="JZ78" s="621">
        <f t="shared" si="688"/>
        <v>182.219270517697</v>
      </c>
      <c r="KA78" s="621">
        <f t="shared" si="688"/>
        <v>162.27520022091301</v>
      </c>
      <c r="KB78" s="622">
        <f t="shared" si="688"/>
        <v>420.91204722696699</v>
      </c>
      <c r="KC78" s="604"/>
      <c r="KD78" s="167" t="s">
        <v>564</v>
      </c>
      <c r="KE78" s="624">
        <f t="shared" ref="KE78:KV78" si="689">KE42</f>
        <v>0.92835999661978696</v>
      </c>
      <c r="KF78" s="621">
        <f t="shared" si="689"/>
        <v>8.3552399695780792</v>
      </c>
      <c r="KG78" s="621">
        <f t="shared" si="689"/>
        <v>205.132592243917</v>
      </c>
      <c r="KH78" s="621">
        <f t="shared" si="689"/>
        <v>643.49519315392001</v>
      </c>
      <c r="KI78" s="621">
        <f t="shared" si="689"/>
        <v>17.638839935775898</v>
      </c>
      <c r="KJ78" s="622">
        <f t="shared" si="689"/>
        <v>9.8386531735720499</v>
      </c>
      <c r="KK78" s="624">
        <f t="shared" si="689"/>
        <v>0</v>
      </c>
      <c r="KL78" s="621">
        <f t="shared" si="689"/>
        <v>0</v>
      </c>
      <c r="KM78" s="621">
        <f t="shared" si="689"/>
        <v>0</v>
      </c>
      <c r="KN78" s="621">
        <f t="shared" si="689"/>
        <v>2.0329616051995099</v>
      </c>
      <c r="KO78" s="621">
        <f t="shared" si="689"/>
        <v>0</v>
      </c>
      <c r="KP78" s="622">
        <f t="shared" si="689"/>
        <v>0</v>
      </c>
      <c r="KQ78" s="624">
        <f t="shared" si="689"/>
        <v>0.92835999661978696</v>
      </c>
      <c r="KR78" s="621">
        <f t="shared" si="689"/>
        <v>8.3552399695780792</v>
      </c>
      <c r="KS78" s="621">
        <f t="shared" si="689"/>
        <v>206.06095224053601</v>
      </c>
      <c r="KT78" s="621">
        <f t="shared" si="689"/>
        <v>646.45651475573902</v>
      </c>
      <c r="KU78" s="621">
        <f t="shared" si="689"/>
        <v>17.638839935775898</v>
      </c>
      <c r="KV78" s="622">
        <f t="shared" si="689"/>
        <v>13.111190624783401</v>
      </c>
      <c r="KW78" s="429"/>
      <c r="KX78" s="167" t="s">
        <v>564</v>
      </c>
      <c r="KY78" s="624">
        <f t="shared" ref="KY78:LA78" si="690">KY42</f>
        <v>352.84125300000005</v>
      </c>
      <c r="KZ78" s="621">
        <f t="shared" si="690"/>
        <v>519.76816299999996</v>
      </c>
      <c r="LA78" s="622">
        <f t="shared" si="690"/>
        <v>113.69156599999999</v>
      </c>
      <c r="LB78" s="624">
        <f t="shared" ref="LB78:LD78" si="691">LB42</f>
        <v>348.63465645886265</v>
      </c>
      <c r="LC78" s="621">
        <f t="shared" si="691"/>
        <v>485.32828731771087</v>
      </c>
      <c r="LD78" s="622">
        <f t="shared" si="691"/>
        <v>81.333395994984485</v>
      </c>
      <c r="LE78" s="624">
        <f t="shared" ref="LE78:LG78" si="692">LE42</f>
        <v>314.33702376511303</v>
      </c>
      <c r="LF78" s="621">
        <f t="shared" si="692"/>
        <v>477.12218745623198</v>
      </c>
      <c r="LG78" s="622">
        <f t="shared" si="692"/>
        <v>102.020246298307</v>
      </c>
      <c r="LH78" s="426"/>
      <c r="LI78" s="167" t="s">
        <v>564</v>
      </c>
      <c r="LJ78" s="624">
        <f t="shared" ref="LJ78:MA78" si="693">LJ42</f>
        <v>852.49441200000001</v>
      </c>
      <c r="LK78" s="621">
        <f t="shared" si="693"/>
        <v>657.93489099999999</v>
      </c>
      <c r="LL78" s="621">
        <f t="shared" si="693"/>
        <v>194.55952099999999</v>
      </c>
      <c r="LM78" s="621">
        <f t="shared" si="693"/>
        <v>109.459502</v>
      </c>
      <c r="LN78" s="621">
        <f t="shared" si="693"/>
        <v>91.998305000000002</v>
      </c>
      <c r="LO78" s="622">
        <f t="shared" si="693"/>
        <v>133.660336</v>
      </c>
      <c r="LP78" s="624">
        <f t="shared" si="693"/>
        <v>534.19909084308927</v>
      </c>
      <c r="LQ78" s="621">
        <f t="shared" si="693"/>
        <v>342.98432147079711</v>
      </c>
      <c r="LR78" s="621">
        <f t="shared" si="693"/>
        <v>191.21476937229215</v>
      </c>
      <c r="LS78" s="621">
        <f t="shared" si="693"/>
        <v>64.128694617110085</v>
      </c>
      <c r="LT78" s="621">
        <f t="shared" si="693"/>
        <v>74.408898104269952</v>
      </c>
      <c r="LU78" s="622">
        <f t="shared" si="693"/>
        <v>94.33561708951548</v>
      </c>
      <c r="LV78" s="624">
        <f t="shared" si="693"/>
        <v>599.42768801360205</v>
      </c>
      <c r="LW78" s="621">
        <f t="shared" si="693"/>
        <v>435.54017536317798</v>
      </c>
      <c r="LX78" s="621">
        <f t="shared" si="693"/>
        <v>163.88751265042399</v>
      </c>
      <c r="LY78" s="621">
        <f t="shared" si="693"/>
        <v>81.919976716626195</v>
      </c>
      <c r="LZ78" s="621">
        <f t="shared" si="693"/>
        <v>46.030229594882897</v>
      </c>
      <c r="MA78" s="622">
        <f t="shared" si="693"/>
        <v>189.56048108790901</v>
      </c>
      <c r="MC78" s="167" t="s">
        <v>564</v>
      </c>
      <c r="MD78" s="624">
        <f t="shared" ref="MD78:MU78" si="694">MD42</f>
        <v>3.5594830000000002</v>
      </c>
      <c r="ME78" s="621">
        <f t="shared" si="694"/>
        <v>18.746773999999998</v>
      </c>
      <c r="MF78" s="621">
        <f t="shared" si="694"/>
        <v>31.488515</v>
      </c>
      <c r="MG78" s="621">
        <f t="shared" si="694"/>
        <v>90.183762000000002</v>
      </c>
      <c r="MH78" s="621">
        <f t="shared" si="694"/>
        <v>257.62587600000001</v>
      </c>
      <c r="MI78" s="622">
        <f t="shared" si="694"/>
        <v>255.33048199999999</v>
      </c>
      <c r="MJ78" s="624">
        <f t="shared" si="694"/>
        <v>0</v>
      </c>
      <c r="MK78" s="621">
        <f t="shared" si="694"/>
        <v>20.338598706731212</v>
      </c>
      <c r="ML78" s="621">
        <f t="shared" si="694"/>
        <v>34.325985954832731</v>
      </c>
      <c r="MM78" s="621">
        <f t="shared" si="694"/>
        <v>58.892699761762856</v>
      </c>
      <c r="MN78" s="621">
        <f t="shared" si="694"/>
        <v>125.56493097567588</v>
      </c>
      <c r="MO78" s="622">
        <f t="shared" si="694"/>
        <v>104.86210529028166</v>
      </c>
      <c r="MP78" s="624">
        <f t="shared" si="694"/>
        <v>0</v>
      </c>
      <c r="MQ78" s="621">
        <f t="shared" si="694"/>
        <v>46.026342791009398</v>
      </c>
      <c r="MR78" s="621">
        <f t="shared" si="694"/>
        <v>40.494862015114002</v>
      </c>
      <c r="MS78" s="621">
        <f t="shared" si="694"/>
        <v>69.292305454277297</v>
      </c>
      <c r="MT78" s="621">
        <f t="shared" si="694"/>
        <v>147.96280167955601</v>
      </c>
      <c r="MU78" s="622">
        <f t="shared" si="694"/>
        <v>131.76386342322101</v>
      </c>
      <c r="MW78" s="167" t="s">
        <v>564</v>
      </c>
      <c r="MX78" s="583">
        <f t="shared" ref="MX78:NF78" si="695">MX42</f>
        <v>722.69153200000005</v>
      </c>
      <c r="MY78" s="561">
        <f t="shared" si="695"/>
        <v>664.42064100000005</v>
      </c>
      <c r="MZ78" s="561">
        <f t="shared" si="695"/>
        <v>58.270892000000003</v>
      </c>
      <c r="NA78" s="583">
        <f t="shared" si="695"/>
        <v>349.3163754214516</v>
      </c>
      <c r="NB78" s="561">
        <f t="shared" si="695"/>
        <v>323.74095778935509</v>
      </c>
      <c r="NC78" s="562">
        <f t="shared" si="695"/>
        <v>25.575417632096521</v>
      </c>
      <c r="ND78" s="583">
        <f t="shared" si="695"/>
        <v>442.18028729633602</v>
      </c>
      <c r="NE78" s="561">
        <f t="shared" si="695"/>
        <v>370.74679779534898</v>
      </c>
      <c r="NF78" s="562">
        <f t="shared" si="695"/>
        <v>71.433489500987207</v>
      </c>
      <c r="NH78" s="167" t="s">
        <v>564</v>
      </c>
      <c r="NI78" s="583">
        <f t="shared" ref="NI78:NR78" si="696">NI42</f>
        <v>242.75766674555041</v>
      </c>
      <c r="NJ78" s="562">
        <f t="shared" si="696"/>
        <v>80.983291043804698</v>
      </c>
      <c r="NK78" s="583">
        <f t="shared" si="696"/>
        <v>17.900926826674326</v>
      </c>
      <c r="NL78" s="561">
        <f t="shared" si="696"/>
        <v>7.6744908054221934</v>
      </c>
      <c r="NM78" s="562">
        <f t="shared" si="696"/>
        <v>0</v>
      </c>
      <c r="NN78" s="583">
        <f t="shared" si="696"/>
        <v>251.21512292030499</v>
      </c>
      <c r="NO78" s="562">
        <f t="shared" si="696"/>
        <v>119.53167487504402</v>
      </c>
      <c r="NP78" s="583">
        <f t="shared" si="696"/>
        <v>59.125248197850802</v>
      </c>
      <c r="NQ78" s="561">
        <f t="shared" si="696"/>
        <v>12.3082413031364</v>
      </c>
      <c r="NR78" s="562">
        <f t="shared" si="696"/>
        <v>0</v>
      </c>
      <c r="NS78" s="136"/>
      <c r="NT78" s="167" t="s">
        <v>564</v>
      </c>
      <c r="NU78" s="583">
        <f t="shared" ref="NU78:OB78" si="697">NU42</f>
        <v>52.236750822052919</v>
      </c>
      <c r="NV78" s="561">
        <f t="shared" si="697"/>
        <v>13.87764010705258</v>
      </c>
      <c r="NW78" s="561">
        <f t="shared" si="697"/>
        <v>5.947560045879678</v>
      </c>
      <c r="NX78" s="562">
        <f t="shared" si="697"/>
        <v>8.9213400688195161</v>
      </c>
      <c r="NY78" s="583">
        <f t="shared" si="697"/>
        <v>66.124837109963906</v>
      </c>
      <c r="NZ78" s="561">
        <f t="shared" si="697"/>
        <v>25.102970666316999</v>
      </c>
      <c r="OA78" s="561">
        <f t="shared" si="697"/>
        <v>10.564443186737501</v>
      </c>
      <c r="OB78" s="562">
        <f t="shared" si="697"/>
        <v>17.7394239120256</v>
      </c>
      <c r="OC78" s="553"/>
      <c r="OD78" s="167" t="s">
        <v>564</v>
      </c>
      <c r="OE78" s="624">
        <f t="shared" ref="OE78:OR78" si="698">OE42</f>
        <v>58.654944751963001</v>
      </c>
      <c r="OF78" s="621">
        <f t="shared" si="698"/>
        <v>97.843020723560798</v>
      </c>
      <c r="OG78" s="621">
        <f t="shared" si="698"/>
        <v>52.475356785704598</v>
      </c>
      <c r="OH78" s="621">
        <f t="shared" si="698"/>
        <v>42.141681412729099</v>
      </c>
      <c r="OI78" s="621">
        <f t="shared" si="698"/>
        <v>56.489034637011201</v>
      </c>
      <c r="OJ78" s="621">
        <f t="shared" si="698"/>
        <v>8.3552399695780792</v>
      </c>
      <c r="OK78" s="622">
        <f t="shared" si="698"/>
        <v>17.4077193329856</v>
      </c>
      <c r="OL78" s="624">
        <f t="shared" si="698"/>
        <v>77.957484776435905</v>
      </c>
      <c r="OM78" s="621">
        <f t="shared" si="698"/>
        <v>105.828999176636</v>
      </c>
      <c r="ON78" s="621">
        <f t="shared" si="698"/>
        <v>60.020432703512299</v>
      </c>
      <c r="OO78" s="621">
        <f t="shared" si="698"/>
        <v>55.1176670619204</v>
      </c>
      <c r="OP78" s="621">
        <f t="shared" si="698"/>
        <v>117.92969024900501</v>
      </c>
      <c r="OQ78" s="621">
        <f t="shared" si="698"/>
        <v>122.55592688092899</v>
      </c>
      <c r="OR78" s="622">
        <f t="shared" si="698"/>
        <v>1155.4364927515401</v>
      </c>
      <c r="OT78" s="167" t="s">
        <v>564</v>
      </c>
      <c r="OU78" s="624">
        <f t="shared" ref="OU78:PF78" si="699">OU42</f>
        <v>715.94017200000008</v>
      </c>
      <c r="OV78" s="621">
        <f t="shared" si="699"/>
        <v>388.34655800000002</v>
      </c>
      <c r="OW78" s="621">
        <f t="shared" si="699"/>
        <v>205.62026700000001</v>
      </c>
      <c r="OX78" s="622">
        <f t="shared" si="699"/>
        <v>148.12761999999998</v>
      </c>
      <c r="OY78" s="624">
        <f t="shared" si="699"/>
        <v>494.23629519686813</v>
      </c>
      <c r="OZ78" s="621">
        <f t="shared" si="699"/>
        <v>306.31432123471978</v>
      </c>
      <c r="PA78" s="621">
        <f t="shared" si="699"/>
        <v>164.96260092867564</v>
      </c>
      <c r="PB78" s="622">
        <f t="shared" si="699"/>
        <v>247.06729348389399</v>
      </c>
      <c r="PC78" s="624">
        <f t="shared" si="699"/>
        <v>496.86943705578994</v>
      </c>
      <c r="PD78" s="621">
        <f t="shared" si="699"/>
        <v>318.79089595502501</v>
      </c>
      <c r="PE78" s="621">
        <f t="shared" si="699"/>
        <v>222.12818250893099</v>
      </c>
      <c r="PF78" s="622">
        <f t="shared" si="699"/>
        <v>288.85758607134511</v>
      </c>
      <c r="PH78" s="167" t="s">
        <v>564</v>
      </c>
      <c r="PI78" s="583">
        <f t="shared" ref="PI78:PP78" si="700">PI42</f>
        <v>185.28688378660019</v>
      </c>
      <c r="PJ78" s="561">
        <f t="shared" si="700"/>
        <v>166.686264412247</v>
      </c>
      <c r="PK78" s="561">
        <f t="shared" si="700"/>
        <v>100.61870049633499</v>
      </c>
      <c r="PL78" s="562">
        <f t="shared" si="700"/>
        <v>129.8307245801104</v>
      </c>
      <c r="PM78" s="583">
        <f t="shared" si="700"/>
        <v>311.58255326919073</v>
      </c>
      <c r="PN78" s="561">
        <f t="shared" si="700"/>
        <v>152.10463154277701</v>
      </c>
      <c r="PO78" s="561">
        <f t="shared" si="700"/>
        <v>121.509482012596</v>
      </c>
      <c r="PP78" s="562">
        <f t="shared" si="700"/>
        <v>159.0268614912348</v>
      </c>
      <c r="PQ78" s="65"/>
      <c r="PR78" s="169" t="s">
        <v>564</v>
      </c>
      <c r="PS78" s="1047">
        <f t="shared" ref="PS78:PW78" si="701">PS42</f>
        <v>14.4168891998441</v>
      </c>
      <c r="PT78" s="1048">
        <f t="shared" si="701"/>
        <v>39.092783420708002</v>
      </c>
      <c r="PU78" s="1048">
        <f t="shared" si="701"/>
        <v>9.9472990395098009</v>
      </c>
      <c r="PV78" s="1048">
        <f t="shared" si="701"/>
        <v>12.1900425771868</v>
      </c>
      <c r="PW78" s="1039">
        <f t="shared" si="701"/>
        <v>273.10958305983303</v>
      </c>
      <c r="PX78" s="1040">
        <f t="shared" ref="PX78" si="702">PX42</f>
        <v>93.423689999254606</v>
      </c>
      <c r="PZ78" s="169" t="s">
        <v>564</v>
      </c>
      <c r="QA78" s="1047">
        <f t="shared" ref="QA78:QF78" si="703">QA42</f>
        <v>290.76251128193599</v>
      </c>
      <c r="QB78" s="1048">
        <f t="shared" si="703"/>
        <v>151.4177760144</v>
      </c>
      <c r="QC78" s="1048">
        <f t="shared" si="703"/>
        <v>120.650965472555</v>
      </c>
      <c r="QD78" s="1048">
        <f t="shared" ref="QD78" si="704">QD42</f>
        <v>2.7850799898593599</v>
      </c>
      <c r="QE78" s="1048">
        <f t="shared" si="703"/>
        <v>27.981730551985301</v>
      </c>
      <c r="QF78" s="1049">
        <f t="shared" si="703"/>
        <v>0</v>
      </c>
    </row>
    <row r="79" spans="1:448" ht="13.5" customHeight="1">
      <c r="A79" s="136"/>
      <c r="B79" s="559" t="s">
        <v>599</v>
      </c>
      <c r="C79" s="561">
        <f t="shared" ref="C79" si="705">C43+C44+C45+C46+C47</f>
        <v>13179.627587000001</v>
      </c>
      <c r="D79" s="561">
        <f t="shared" ref="D79:E79" si="706">D43+D44+D45+D46+D47</f>
        <v>14201.215524230363</v>
      </c>
      <c r="E79" s="562">
        <f t="shared" si="706"/>
        <v>16971.090375763859</v>
      </c>
      <c r="F79" s="136"/>
      <c r="G79" s="559" t="s">
        <v>599</v>
      </c>
      <c r="H79" s="682">
        <f t="shared" si="447"/>
        <v>1.5043082795525908E-2</v>
      </c>
      <c r="I79" s="674">
        <f t="shared" si="448"/>
        <v>3.6279353594314667E-2</v>
      </c>
      <c r="J79" s="683"/>
      <c r="K79" s="63"/>
      <c r="L79" s="559" t="s">
        <v>599</v>
      </c>
      <c r="M79" s="623">
        <f t="shared" ref="M79:T79" si="707">M43+M44+M45+M46+M47</f>
        <v>166</v>
      </c>
      <c r="N79" s="619">
        <f t="shared" si="707"/>
        <v>164</v>
      </c>
      <c r="O79" s="619">
        <f t="shared" si="707"/>
        <v>168</v>
      </c>
      <c r="P79" s="619">
        <f t="shared" si="707"/>
        <v>162</v>
      </c>
      <c r="Q79" s="619">
        <f t="shared" si="707"/>
        <v>181</v>
      </c>
      <c r="R79" s="619">
        <f t="shared" si="707"/>
        <v>203</v>
      </c>
      <c r="S79" s="619">
        <f t="shared" si="707"/>
        <v>213</v>
      </c>
      <c r="T79" s="619">
        <f t="shared" si="707"/>
        <v>164</v>
      </c>
      <c r="U79" s="619">
        <f t="shared" ref="U79:V79" si="708">U43+U44+U45+U46+U47</f>
        <v>218</v>
      </c>
      <c r="V79" s="619">
        <f t="shared" si="708"/>
        <v>153</v>
      </c>
      <c r="W79" s="620">
        <f t="shared" ref="W79" si="709">W43+W44+W45+W46+W47</f>
        <v>176</v>
      </c>
      <c r="X79" s="559" t="s">
        <v>599</v>
      </c>
      <c r="Y79" s="623">
        <f t="shared" ref="Y79:AB79" si="710">Y43+Y44+Y45+Y46+Y47</f>
        <v>165</v>
      </c>
      <c r="Z79" s="619">
        <f t="shared" si="710"/>
        <v>165</v>
      </c>
      <c r="AA79" s="619">
        <f t="shared" si="710"/>
        <v>192</v>
      </c>
      <c r="AB79" s="619">
        <f t="shared" si="710"/>
        <v>188.5</v>
      </c>
      <c r="AC79" s="1205">
        <f t="shared" ref="AC79" si="711">AC43+AC44+AC45+AC46+AC47</f>
        <v>188.5</v>
      </c>
      <c r="AD79" s="675">
        <f t="shared" si="98"/>
        <v>0</v>
      </c>
      <c r="AE79" s="675">
        <f t="shared" si="99"/>
        <v>0.16363636363636364</v>
      </c>
      <c r="AF79" s="675">
        <f t="shared" si="100"/>
        <v>-1.8229166666666668E-2</v>
      </c>
      <c r="AG79" s="1216">
        <f t="shared" si="101"/>
        <v>0</v>
      </c>
      <c r="AN79" s="559" t="s">
        <v>599</v>
      </c>
      <c r="AO79" s="623">
        <f t="shared" ref="AO79:AV79" si="712">AO43+AO44+AO45+AO46+AO47</f>
        <v>4.5737249999999996</v>
      </c>
      <c r="AP79" s="619">
        <f t="shared" si="712"/>
        <v>226.625089</v>
      </c>
      <c r="AQ79" s="619">
        <f t="shared" si="712"/>
        <v>1072.0395960000001</v>
      </c>
      <c r="AR79" s="619">
        <f t="shared" si="712"/>
        <v>1804.0843120000002</v>
      </c>
      <c r="AS79" s="619">
        <f t="shared" si="712"/>
        <v>1910.741419</v>
      </c>
      <c r="AT79" s="619">
        <f t="shared" si="712"/>
        <v>1173.9816420000002</v>
      </c>
      <c r="AU79" s="619">
        <f t="shared" si="712"/>
        <v>3202.1586459999999</v>
      </c>
      <c r="AV79" s="620">
        <f t="shared" si="712"/>
        <v>1836.139398</v>
      </c>
      <c r="AW79" s="623">
        <f t="shared" ref="AW79:BD79" si="713">AW43+AW44+AW45+AW46+AW47</f>
        <v>0</v>
      </c>
      <c r="AX79" s="619">
        <f t="shared" si="713"/>
        <v>260.00357049892608</v>
      </c>
      <c r="AY79" s="619">
        <f t="shared" si="713"/>
        <v>1020.1365339460217</v>
      </c>
      <c r="AZ79" s="619">
        <f t="shared" si="713"/>
        <v>1879.787685137074</v>
      </c>
      <c r="BA79" s="619">
        <f t="shared" si="713"/>
        <v>2107.9722736079902</v>
      </c>
      <c r="BB79" s="619">
        <f t="shared" si="713"/>
        <v>1426.637057213447</v>
      </c>
      <c r="BC79" s="619">
        <f t="shared" si="713"/>
        <v>3300.1927055940769</v>
      </c>
      <c r="BD79" s="620">
        <f t="shared" si="713"/>
        <v>2113.071710647167</v>
      </c>
      <c r="BE79" s="623">
        <f t="shared" ref="BE79:BL79" si="714">BE43+BE44+BE45+BE46+BE47</f>
        <v>1.06488572007763</v>
      </c>
      <c r="BF79" s="619">
        <f t="shared" si="714"/>
        <v>369.97672428412153</v>
      </c>
      <c r="BG79" s="619">
        <f t="shared" si="714"/>
        <v>1324.243934222302</v>
      </c>
      <c r="BH79" s="619">
        <f t="shared" si="714"/>
        <v>2580.1269322961953</v>
      </c>
      <c r="BI79" s="619">
        <f t="shared" si="714"/>
        <v>2807.7652093199204</v>
      </c>
      <c r="BJ79" s="619">
        <f t="shared" si="714"/>
        <v>1542.0693525700692</v>
      </c>
      <c r="BK79" s="619">
        <f t="shared" si="714"/>
        <v>3469.9590041349811</v>
      </c>
      <c r="BL79" s="620">
        <f t="shared" si="714"/>
        <v>2376.133712095575</v>
      </c>
      <c r="BN79" s="559" t="s">
        <v>599</v>
      </c>
      <c r="BO79" s="623">
        <f t="shared" ref="BO79:BT79" si="715">BO43+BO44+BO45+BO46+BO47</f>
        <v>1945.2837640000002</v>
      </c>
      <c r="BP79" s="619">
        <f t="shared" si="715"/>
        <v>3126.7805400000007</v>
      </c>
      <c r="BQ79" s="619">
        <f t="shared" si="715"/>
        <v>2547.8571920000004</v>
      </c>
      <c r="BR79" s="619">
        <f t="shared" si="715"/>
        <v>2191.8279940000002</v>
      </c>
      <c r="BS79" s="619">
        <f t="shared" si="715"/>
        <v>1615.0402750000001</v>
      </c>
      <c r="BT79" s="620">
        <f t="shared" si="715"/>
        <v>1752.8378229999998</v>
      </c>
      <c r="BU79" s="623">
        <f t="shared" ref="BU79:BZ79" si="716">BU43+BU44+BU45+BU46+BU47</f>
        <v>2105.4139782075076</v>
      </c>
      <c r="BV79" s="619">
        <f t="shared" si="716"/>
        <v>3377.1883026382584</v>
      </c>
      <c r="BW79" s="619">
        <f t="shared" si="716"/>
        <v>2585.8737129427827</v>
      </c>
      <c r="BX79" s="619">
        <f t="shared" si="716"/>
        <v>2422.3811114971372</v>
      </c>
      <c r="BY79" s="619">
        <f t="shared" si="716"/>
        <v>1728.8463593499346</v>
      </c>
      <c r="BZ79" s="620">
        <f t="shared" si="716"/>
        <v>1981.5120595947449</v>
      </c>
      <c r="CA79" s="623">
        <f t="shared" ref="CA79:CF79" si="717">CA43+CA44+CA45+CA46+CA47</f>
        <v>2490.7506119821601</v>
      </c>
      <c r="CB79" s="619">
        <f t="shared" si="717"/>
        <v>4478.5437207247551</v>
      </c>
      <c r="CC79" s="619">
        <f t="shared" si="717"/>
        <v>3333.8418719096917</v>
      </c>
      <c r="CD79" s="619">
        <f t="shared" si="717"/>
        <v>2646.7375145792812</v>
      </c>
      <c r="CE79" s="619">
        <f t="shared" si="717"/>
        <v>1966.902341376102</v>
      </c>
      <c r="CF79" s="620">
        <f t="shared" si="717"/>
        <v>2054.314315191888</v>
      </c>
      <c r="CG79" s="429"/>
      <c r="CH79" s="559" t="s">
        <v>599</v>
      </c>
      <c r="CI79" s="583">
        <f t="shared" ref="CI79:CK79" si="718">CI43+CI44+CI45+CI46+CI47</f>
        <v>2800.8817699999995</v>
      </c>
      <c r="CJ79" s="561">
        <f t="shared" si="718"/>
        <v>7657.882599999999</v>
      </c>
      <c r="CK79" s="561">
        <f t="shared" si="718"/>
        <v>2720.8632170000001</v>
      </c>
      <c r="CL79" s="583">
        <f t="shared" ref="CL79:CN79" si="719">CL43+CL44+CL45+CL46+CL47</f>
        <v>3162.5372656402214</v>
      </c>
      <c r="CM79" s="561">
        <f t="shared" si="719"/>
        <v>7939.1661344489457</v>
      </c>
      <c r="CN79" s="561">
        <f t="shared" si="719"/>
        <v>3099.512124141198</v>
      </c>
      <c r="CO79" s="583">
        <f t="shared" ref="CO79:CQ79" si="720">CO43+CO44+CO45+CO46+CO47</f>
        <v>3698.8821343923819</v>
      </c>
      <c r="CP79" s="561">
        <f t="shared" si="720"/>
        <v>9942.1739910190208</v>
      </c>
      <c r="CQ79" s="562">
        <f t="shared" si="720"/>
        <v>3330.0342503524557</v>
      </c>
      <c r="CR79" s="429"/>
      <c r="DG79" s="559" t="s">
        <v>599</v>
      </c>
      <c r="DH79" s="829"/>
      <c r="DI79" s="830"/>
      <c r="DJ79" s="830"/>
      <c r="DK79" s="830"/>
      <c r="DL79" s="830"/>
      <c r="DM79" s="831"/>
      <c r="DO79" s="559" t="s">
        <v>599</v>
      </c>
      <c r="DP79" s="708">
        <f t="shared" ref="DP79:DR79" si="721">DP43+DP44+DP45+DP46+DP47</f>
        <v>6664.5111770000003</v>
      </c>
      <c r="DQ79" s="619">
        <f t="shared" si="721"/>
        <v>7117.494932854428</v>
      </c>
      <c r="DR79" s="620">
        <f t="shared" si="721"/>
        <v>8956.6234741230855</v>
      </c>
      <c r="DS79" s="63"/>
      <c r="DT79" s="559" t="s">
        <v>599</v>
      </c>
      <c r="DU79" s="623">
        <f t="shared" ref="DU79:DW79" si="722">DU43+DU44+DU45+DU46+DU47</f>
        <v>12671.628207</v>
      </c>
      <c r="DV79" s="619">
        <f t="shared" si="722"/>
        <v>13479.216088482557</v>
      </c>
      <c r="DW79" s="620">
        <f t="shared" si="722"/>
        <v>16191.089583763551</v>
      </c>
      <c r="DX79" s="63"/>
      <c r="DY79" s="559" t="s">
        <v>599</v>
      </c>
      <c r="DZ79" s="1092">
        <f t="shared" si="410"/>
        <v>1.9013589849967174</v>
      </c>
      <c r="EA79" s="790">
        <f t="shared" si="411"/>
        <v>1.8938146378246594</v>
      </c>
      <c r="EB79" s="778">
        <f t="shared" si="412"/>
        <v>1.8077224782912702</v>
      </c>
      <c r="ED79" s="541"/>
      <c r="EE79" s="559" t="s">
        <v>599</v>
      </c>
      <c r="EF79" s="623">
        <f t="shared" ref="EF79:EJ79" si="723">EF43+EF44+EF45+EF46+EF47</f>
        <v>3119.44859</v>
      </c>
      <c r="EG79" s="619">
        <f t="shared" si="723"/>
        <v>160.76990999999998</v>
      </c>
      <c r="EH79" s="619">
        <f t="shared" si="723"/>
        <v>1664.666667</v>
      </c>
      <c r="EI79" s="619">
        <f t="shared" si="723"/>
        <v>1089.7165359999999</v>
      </c>
      <c r="EJ79" s="619">
        <f t="shared" si="723"/>
        <v>629.90947200000005</v>
      </c>
      <c r="EK79" s="623">
        <f t="shared" ref="EK79:EO79" si="724">EK43+EK44+EK45+EK46+EK47</f>
        <v>3526.6553147779318</v>
      </c>
      <c r="EL79" s="619">
        <f t="shared" si="724"/>
        <v>162.86420541809173</v>
      </c>
      <c r="EM79" s="619">
        <f t="shared" si="724"/>
        <v>1586.372377986354</v>
      </c>
      <c r="EN79" s="619">
        <f t="shared" si="724"/>
        <v>1197.4742513080125</v>
      </c>
      <c r="EO79" s="619">
        <f t="shared" si="724"/>
        <v>644.12878336403844</v>
      </c>
      <c r="EP79" s="623">
        <f t="shared" ref="EP79:ET79" si="725">EP43+EP44+EP45+EP46+EP47</f>
        <v>4740.0974636427254</v>
      </c>
      <c r="EQ79" s="619">
        <f t="shared" si="725"/>
        <v>191.80804101380636</v>
      </c>
      <c r="ER79" s="619">
        <f t="shared" si="725"/>
        <v>1853.2015675179928</v>
      </c>
      <c r="ES79" s="619">
        <f t="shared" si="725"/>
        <v>1312.006856354049</v>
      </c>
      <c r="ET79" s="620">
        <f t="shared" si="725"/>
        <v>859.50954559449769</v>
      </c>
      <c r="EV79" s="559" t="s">
        <v>599</v>
      </c>
      <c r="EW79" s="623">
        <f t="shared" ref="EW79:FD79" si="726">EW43+EW44+EW45+EW46+EW47</f>
        <v>408.20511199999999</v>
      </c>
      <c r="EX79" s="619">
        <f t="shared" si="726"/>
        <v>1234.563261</v>
      </c>
      <c r="EY79" s="619">
        <f t="shared" si="726"/>
        <v>916.82524899999999</v>
      </c>
      <c r="EZ79" s="619">
        <f t="shared" si="726"/>
        <v>560.85496899999998</v>
      </c>
      <c r="FA79" s="623">
        <f t="shared" si="726"/>
        <v>1802.6542030000001</v>
      </c>
      <c r="FB79" s="619">
        <f t="shared" si="726"/>
        <v>5177.2357760000004</v>
      </c>
      <c r="FC79" s="619">
        <f t="shared" si="726"/>
        <v>2803.3189739999998</v>
      </c>
      <c r="FD79" s="619">
        <f t="shared" si="726"/>
        <v>933.13550099999998</v>
      </c>
      <c r="FE79" s="623">
        <f t="shared" ref="FE79:FL79" si="727">FE43+FE44+FE45+FE46+FE47</f>
        <v>489.7957241633336</v>
      </c>
      <c r="FF79" s="619">
        <f t="shared" si="727"/>
        <v>1343.5126894468153</v>
      </c>
      <c r="FG79" s="619">
        <f t="shared" si="727"/>
        <v>1001.474080165192</v>
      </c>
      <c r="FH79" s="620">
        <f t="shared" si="727"/>
        <v>690.87282178410385</v>
      </c>
      <c r="FI79" s="623">
        <f t="shared" si="727"/>
        <v>2101.0154966669998</v>
      </c>
      <c r="FJ79" s="619">
        <f t="shared" si="727"/>
        <v>5283.0657124335648</v>
      </c>
      <c r="FK79" s="619">
        <f t="shared" si="727"/>
        <v>2864.0216033869106</v>
      </c>
      <c r="FL79" s="620">
        <f t="shared" si="727"/>
        <v>1117.6993040396751</v>
      </c>
      <c r="FM79" s="707">
        <f t="shared" ref="FM79:FT79" si="728">FM43+FM44+FM45+FM46+FM47</f>
        <v>752.19068314802371</v>
      </c>
      <c r="FN79" s="708">
        <f t="shared" si="728"/>
        <v>1940.49089979684</v>
      </c>
      <c r="FO79" s="708">
        <f t="shared" si="728"/>
        <v>1333.7839027782368</v>
      </c>
      <c r="FP79" s="581">
        <f t="shared" si="728"/>
        <v>715.63197995039695</v>
      </c>
      <c r="FQ79" s="707">
        <f t="shared" si="728"/>
        <v>2641.0057023254317</v>
      </c>
      <c r="FR79" s="708">
        <f t="shared" si="728"/>
        <v>6799.841489142158</v>
      </c>
      <c r="FS79" s="708">
        <f t="shared" si="728"/>
        <v>3134.6834822369847</v>
      </c>
      <c r="FT79" s="581">
        <f t="shared" si="728"/>
        <v>1151.8083254922135</v>
      </c>
      <c r="FV79" s="559" t="s">
        <v>599</v>
      </c>
      <c r="FW79" s="623">
        <f t="shared" ref="FW79:GH79" si="729">FW43+FW44+FW45+FW46+FW47</f>
        <v>1836.6061810000001</v>
      </c>
      <c r="FX79" s="619">
        <f t="shared" si="729"/>
        <v>792.25728300000003</v>
      </c>
      <c r="FY79" s="619">
        <f t="shared" si="729"/>
        <v>495.77272099999993</v>
      </c>
      <c r="FZ79" s="620">
        <f t="shared" si="729"/>
        <v>263.15870800000005</v>
      </c>
      <c r="GA79" s="623">
        <f t="shared" si="729"/>
        <v>1710.2669328517763</v>
      </c>
      <c r="GB79" s="619">
        <f t="shared" si="729"/>
        <v>807.74065944014569</v>
      </c>
      <c r="GC79" s="619">
        <f t="shared" si="729"/>
        <v>600.17735121597968</v>
      </c>
      <c r="GD79" s="620">
        <f t="shared" si="729"/>
        <v>327.28002376667786</v>
      </c>
      <c r="GE79" s="623">
        <f t="shared" si="729"/>
        <v>2042.5492884568591</v>
      </c>
      <c r="GF79" s="619">
        <f t="shared" si="729"/>
        <v>968.32012566472599</v>
      </c>
      <c r="GG79" s="619">
        <f t="shared" si="729"/>
        <v>712.69529578891093</v>
      </c>
      <c r="GH79" s="620">
        <f t="shared" si="729"/>
        <v>315.86504915576387</v>
      </c>
      <c r="GJ79" s="559" t="s">
        <v>599</v>
      </c>
      <c r="GK79" s="619">
        <f t="shared" ref="GK79:GM79" si="730">GK43+GK44+GK45+GK46+GK47</f>
        <v>7218.9918699999998</v>
      </c>
      <c r="GL79" s="619">
        <f t="shared" si="730"/>
        <v>7977.994441490313</v>
      </c>
      <c r="GM79" s="620">
        <f t="shared" si="730"/>
        <v>10140.48520768862</v>
      </c>
      <c r="GO79" s="559" t="s">
        <v>599</v>
      </c>
      <c r="GP79" s="623">
        <f t="shared" ref="GP79:GX79" si="731">GP43+GP44+GP45+GP46+GP47</f>
        <v>6663.5111780000007</v>
      </c>
      <c r="GQ79" s="619">
        <f t="shared" si="731"/>
        <v>84.537655999999998</v>
      </c>
      <c r="GR79" s="620">
        <f t="shared" si="731"/>
        <v>470.94303600000001</v>
      </c>
      <c r="GS79" s="623">
        <f t="shared" si="731"/>
        <v>7112.494936761992</v>
      </c>
      <c r="GT79" s="619">
        <f t="shared" si="731"/>
        <v>122.20996178899955</v>
      </c>
      <c r="GU79" s="620">
        <f t="shared" si="731"/>
        <v>743.28954293931974</v>
      </c>
      <c r="GV79" s="623">
        <f t="shared" si="731"/>
        <v>8960.623478184616</v>
      </c>
      <c r="GW79" s="619">
        <f t="shared" si="731"/>
        <v>262.34693742400486</v>
      </c>
      <c r="GX79" s="620">
        <f t="shared" si="731"/>
        <v>917.514792079995</v>
      </c>
      <c r="GZ79" s="559" t="s">
        <v>599</v>
      </c>
      <c r="HA79" s="623">
        <f t="shared" ref="HA79:HI79" si="732">HA43+HA44+HA45+HA46+HA47</f>
        <v>2213.5318770000003</v>
      </c>
      <c r="HB79" s="619">
        <f t="shared" si="732"/>
        <v>4943.2154980000005</v>
      </c>
      <c r="HC79" s="620">
        <f t="shared" si="732"/>
        <v>62.244494999999688</v>
      </c>
      <c r="HD79" s="623">
        <f t="shared" si="732"/>
        <v>2098.6745333848653</v>
      </c>
      <c r="HE79" s="619">
        <f t="shared" si="732"/>
        <v>5849.4111594952046</v>
      </c>
      <c r="HF79" s="620">
        <f t="shared" si="732"/>
        <v>29.908748610243151</v>
      </c>
      <c r="HG79" s="623">
        <f t="shared" si="732"/>
        <v>2086.137969195137</v>
      </c>
      <c r="HH79" s="619">
        <f t="shared" si="732"/>
        <v>7994.7682639092873</v>
      </c>
      <c r="HI79" s="620">
        <f t="shared" si="732"/>
        <v>59.578974584195976</v>
      </c>
      <c r="HK79" s="559" t="s">
        <v>599</v>
      </c>
      <c r="HL79" s="619">
        <f t="shared" ref="HL79:HO79" si="733">HL43+HL44+HL45+HL46+HL47</f>
        <v>6663.5111780000007</v>
      </c>
      <c r="HM79" s="619">
        <f t="shared" ref="HM79" si="734">HM43+HM44+HM45+HM46+HM47</f>
        <v>22690.496067999997</v>
      </c>
      <c r="HN79" s="778">
        <f t="shared" si="477"/>
        <v>3.40518616415233</v>
      </c>
      <c r="HO79" s="623">
        <f t="shared" si="733"/>
        <v>7112.494936761992</v>
      </c>
      <c r="HP79" s="619">
        <f t="shared" ref="HP79" si="735">HP43+HP44+HP45+HP46+HP47</f>
        <v>23792.612411219827</v>
      </c>
      <c r="HQ79" s="778">
        <f t="shared" si="479"/>
        <v>3.3451851456855395</v>
      </c>
      <c r="HR79" s="619">
        <f>HR43+HR44+HR45+HR46+HR47</f>
        <v>8960.623478184616</v>
      </c>
      <c r="HS79" s="619">
        <f>HS43+HS44+HS45+HS46+HS47</f>
        <v>28665.968713214363</v>
      </c>
      <c r="HT79" s="786">
        <f t="shared" si="480"/>
        <v>3.1991042568638277</v>
      </c>
      <c r="HV79" s="559" t="s">
        <v>599</v>
      </c>
      <c r="HW79" s="583">
        <f>HW43+HW44+HW45+HW46+HW47</f>
        <v>2112.1998790000002</v>
      </c>
      <c r="HX79" s="561">
        <f>HX43+HX44+HX45+HX46+HX47</f>
        <v>9648.8960349999998</v>
      </c>
      <c r="HY79" s="790">
        <f t="shared" si="481"/>
        <v>4.5681737466854573</v>
      </c>
      <c r="HZ79" s="561">
        <f>HZ43+HZ44+HZ45+HZ46+HZ47</f>
        <v>4490.2768419999993</v>
      </c>
      <c r="IA79" s="561">
        <f>IA43+IA44+IA45+IA46+IA47</f>
        <v>12961.012032999999</v>
      </c>
      <c r="IB79" s="790">
        <f t="shared" si="482"/>
        <v>2.8864616791037494</v>
      </c>
      <c r="IC79" s="583">
        <f>IC43+IC44+IC45+IC46+IC47</f>
        <v>1958.5012100797244</v>
      </c>
      <c r="ID79" s="561">
        <f>ID43+ID44+ID45+ID46+ID47</f>
        <v>9120.8071504442069</v>
      </c>
      <c r="IE79" s="790">
        <f t="shared" si="483"/>
        <v>4.6570342175448172</v>
      </c>
      <c r="IF79" s="561">
        <f>IF43+IF44+IF45+IF46+IF47</f>
        <v>5127.491604018418</v>
      </c>
      <c r="IG79" s="561">
        <f>IG43+IG44+IG45+IG46+IG47</f>
        <v>14603.519545183295</v>
      </c>
      <c r="IH79" s="790">
        <f t="shared" si="126"/>
        <v>2.8480825855938035</v>
      </c>
      <c r="II79" s="583">
        <f>II43+II44+II45+II46+II47</f>
        <v>1926.1545515806311</v>
      </c>
      <c r="IJ79" s="561">
        <f>IJ43+IJ44+IJ45+IJ46+IJ47</f>
        <v>8993.3317684689155</v>
      </c>
      <c r="IK79" s="790">
        <f t="shared" si="484"/>
        <v>4.6690603103935011</v>
      </c>
      <c r="IL79" s="561">
        <f>IL43+IL44+IL45+IL46+IL47</f>
        <v>7019.8660612348122</v>
      </c>
      <c r="IM79" s="561">
        <f>IM43+IM44+IM45+IM46+IM47</f>
        <v>19637.17860313187</v>
      </c>
      <c r="IN79" s="779">
        <f t="shared" si="485"/>
        <v>2.7973722620681514</v>
      </c>
      <c r="IP79" s="559" t="s">
        <v>599</v>
      </c>
      <c r="IQ79" s="583">
        <f>IQ43+IQ44+IQ45+IQ46+IQ47</f>
        <v>605.13575500000002</v>
      </c>
      <c r="IR79" s="619">
        <f t="shared" ref="IR79:JH79" si="736">IR43+IR44+IR45+IR46+IR47</f>
        <v>1283.6548089999999</v>
      </c>
      <c r="IS79" s="619">
        <f t="shared" si="736"/>
        <v>1749.4044349999999</v>
      </c>
      <c r="IT79" s="619">
        <f t="shared" si="736"/>
        <v>1626.803893</v>
      </c>
      <c r="IU79" s="619">
        <f t="shared" si="736"/>
        <v>1398.5122889999998</v>
      </c>
      <c r="IV79" s="619">
        <f t="shared" si="736"/>
        <v>22690.496067999997</v>
      </c>
      <c r="IW79" s="707">
        <f t="shared" si="736"/>
        <v>686.19136814223941</v>
      </c>
      <c r="IX79" s="708">
        <f t="shared" si="736"/>
        <v>1463.3603702013506</v>
      </c>
      <c r="IY79" s="708">
        <f t="shared" si="736"/>
        <v>1866.0967125501554</v>
      </c>
      <c r="IZ79" s="708">
        <f t="shared" si="736"/>
        <v>1716.7043975634492</v>
      </c>
      <c r="JA79" s="708">
        <f t="shared" si="736"/>
        <v>1380.142088304797</v>
      </c>
      <c r="JB79" s="581">
        <f t="shared" si="736"/>
        <v>23792.612411219827</v>
      </c>
      <c r="JC79" s="707">
        <f t="shared" si="736"/>
        <v>681.89529641227477</v>
      </c>
      <c r="JD79" s="708">
        <f t="shared" si="736"/>
        <v>2282.5866863437091</v>
      </c>
      <c r="JE79" s="708">
        <f t="shared" si="736"/>
        <v>2743.808754518599</v>
      </c>
      <c r="JF79" s="708">
        <f t="shared" si="736"/>
        <v>1867.5212240336109</v>
      </c>
      <c r="JG79" s="708">
        <f t="shared" si="736"/>
        <v>1384.8115168764218</v>
      </c>
      <c r="JH79" s="581">
        <f t="shared" si="736"/>
        <v>28665.968713214363</v>
      </c>
      <c r="JJ79" s="559" t="s">
        <v>599</v>
      </c>
      <c r="JK79" s="583">
        <f t="shared" ref="JK79:JV79" si="737">JK43+JK44+JK45+JK46+JK47</f>
        <v>2831.724721</v>
      </c>
      <c r="JL79" s="561">
        <f t="shared" si="737"/>
        <v>2457.3795330000003</v>
      </c>
      <c r="JM79" s="561">
        <f t="shared" si="737"/>
        <v>1326.513729</v>
      </c>
      <c r="JN79" s="562">
        <f t="shared" si="737"/>
        <v>47.893195000000006</v>
      </c>
      <c r="JO79" s="583">
        <f t="shared" si="737"/>
        <v>2851.0288253481203</v>
      </c>
      <c r="JP79" s="561">
        <f t="shared" si="737"/>
        <v>2251.0209919412459</v>
      </c>
      <c r="JQ79" s="561">
        <f t="shared" si="737"/>
        <v>1933.6307147827861</v>
      </c>
      <c r="JR79" s="562">
        <f t="shared" si="737"/>
        <v>76.814404689839648</v>
      </c>
      <c r="JS79" s="583">
        <f t="shared" si="737"/>
        <v>3219.1663619588207</v>
      </c>
      <c r="JT79" s="561">
        <f t="shared" si="737"/>
        <v>3728.1875694082946</v>
      </c>
      <c r="JU79" s="561">
        <f t="shared" si="737"/>
        <v>1915.1877620226378</v>
      </c>
      <c r="JV79" s="562">
        <f t="shared" si="737"/>
        <v>98.081784794861846</v>
      </c>
      <c r="JX79" s="559" t="s">
        <v>599</v>
      </c>
      <c r="JY79" s="583">
        <f t="shared" ref="JY79:KB79" si="738">JY43+JY44+JY45+JY46+JY47</f>
        <v>1841.0147775941791</v>
      </c>
      <c r="JZ79" s="561">
        <f t="shared" si="738"/>
        <v>3085.1967685051332</v>
      </c>
      <c r="KA79" s="561">
        <f t="shared" si="738"/>
        <v>1697.895909191147</v>
      </c>
      <c r="KB79" s="562">
        <f t="shared" si="738"/>
        <v>2336.5160228941568</v>
      </c>
      <c r="KC79" s="604"/>
      <c r="KD79" s="559" t="s">
        <v>599</v>
      </c>
      <c r="KE79" s="623">
        <f t="shared" ref="KE79:KV79" si="739">KE43+KE44+KE45+KE46+KE47</f>
        <v>46.373686289003388</v>
      </c>
      <c r="KF79" s="619">
        <f t="shared" si="739"/>
        <v>84.323611435786887</v>
      </c>
      <c r="KG79" s="619">
        <f t="shared" si="739"/>
        <v>1635.0159665744809</v>
      </c>
      <c r="KH79" s="619">
        <f t="shared" si="739"/>
        <v>1547.6385227664509</v>
      </c>
      <c r="KI79" s="619">
        <f t="shared" si="739"/>
        <v>1176.9566646589938</v>
      </c>
      <c r="KJ79" s="620">
        <f t="shared" si="739"/>
        <v>2294.8436898357445</v>
      </c>
      <c r="KK79" s="623">
        <f t="shared" si="739"/>
        <v>179.0996867285792</v>
      </c>
      <c r="KL79" s="619">
        <f t="shared" si="739"/>
        <v>240.28973948087938</v>
      </c>
      <c r="KM79" s="619">
        <f t="shared" si="739"/>
        <v>690.10520295431547</v>
      </c>
      <c r="KN79" s="619">
        <f t="shared" si="739"/>
        <v>407.69241076974708</v>
      </c>
      <c r="KO79" s="619">
        <f t="shared" si="739"/>
        <v>226.09624081501426</v>
      </c>
      <c r="KP79" s="620">
        <f t="shared" si="739"/>
        <v>172.38205274554957</v>
      </c>
      <c r="KQ79" s="623">
        <f t="shared" si="739"/>
        <v>225.47337301758259</v>
      </c>
      <c r="KR79" s="619">
        <f t="shared" si="739"/>
        <v>325.61335193205139</v>
      </c>
      <c r="KS79" s="619">
        <f t="shared" si="739"/>
        <v>2329.201146558546</v>
      </c>
      <c r="KT79" s="619">
        <f t="shared" si="739"/>
        <v>1963.9001492681191</v>
      </c>
      <c r="KU79" s="619">
        <f t="shared" si="739"/>
        <v>1403.0529054740091</v>
      </c>
      <c r="KV79" s="620">
        <f t="shared" si="739"/>
        <v>2468.1794141734131</v>
      </c>
      <c r="KW79" s="429"/>
      <c r="KX79" s="559" t="s">
        <v>599</v>
      </c>
      <c r="KY79" s="583">
        <f t="shared" ref="KY79:LA79" si="740">KY43+KY44+KY45+KY46+KY47</f>
        <v>1432.3242810000006</v>
      </c>
      <c r="KZ79" s="561">
        <f t="shared" si="740"/>
        <v>3710.6889159999996</v>
      </c>
      <c r="LA79" s="562">
        <f t="shared" si="740"/>
        <v>1521.4979799999999</v>
      </c>
      <c r="LB79" s="583">
        <f t="shared" ref="LB79:LD79" si="741">LB43+LB44+LB45+LB46+LB47</f>
        <v>1701.5006669677227</v>
      </c>
      <c r="LC79" s="561">
        <f t="shared" si="741"/>
        <v>4159.0864859552894</v>
      </c>
      <c r="LD79" s="562">
        <f t="shared" si="741"/>
        <v>1256.9077799314159</v>
      </c>
      <c r="LE79" s="583">
        <f t="shared" ref="LE79:LG79" si="742">LE43+LE44+LE45+LE46+LE47</f>
        <v>2009.8976050517012</v>
      </c>
      <c r="LF79" s="561">
        <f t="shared" si="742"/>
        <v>5311.5632754470089</v>
      </c>
      <c r="LG79" s="562">
        <f t="shared" si="742"/>
        <v>1635.1625936243761</v>
      </c>
      <c r="LH79" s="426"/>
      <c r="LI79" s="559" t="s">
        <v>599</v>
      </c>
      <c r="LJ79" s="583">
        <f t="shared" ref="LJ79:MA79" si="743">LJ43+LJ44+LJ45+LJ46+LJ47</f>
        <v>6180.1220220000005</v>
      </c>
      <c r="LK79" s="561">
        <f t="shared" si="743"/>
        <v>5546.3075589999999</v>
      </c>
      <c r="LL79" s="561">
        <f t="shared" si="743"/>
        <v>633.81446300000005</v>
      </c>
      <c r="LM79" s="561">
        <f t="shared" si="743"/>
        <v>1104.7901420000001</v>
      </c>
      <c r="LN79" s="561">
        <f t="shared" si="743"/>
        <v>642.87789899999996</v>
      </c>
      <c r="LO79" s="562">
        <f t="shared" si="743"/>
        <v>585.69054499999993</v>
      </c>
      <c r="LP79" s="583">
        <f t="shared" si="743"/>
        <v>6715.6610833008708</v>
      </c>
      <c r="LQ79" s="561">
        <f t="shared" si="743"/>
        <v>5637.8678814677805</v>
      </c>
      <c r="LR79" s="561">
        <f t="shared" si="743"/>
        <v>1077.7932018330923</v>
      </c>
      <c r="LS79" s="561">
        <f t="shared" si="743"/>
        <v>1176.6575819070943</v>
      </c>
      <c r="LT79" s="561">
        <f t="shared" si="743"/>
        <v>462.47662182098861</v>
      </c>
      <c r="LU79" s="562">
        <f t="shared" si="743"/>
        <v>641.49413485270463</v>
      </c>
      <c r="LV79" s="583">
        <f t="shared" si="743"/>
        <v>8725.4486867665619</v>
      </c>
      <c r="LW79" s="561">
        <f t="shared" si="743"/>
        <v>7431.5704940288279</v>
      </c>
      <c r="LX79" s="561">
        <f t="shared" si="743"/>
        <v>1293.878192737729</v>
      </c>
      <c r="LY79" s="561">
        <f t="shared" si="743"/>
        <v>1285.6229518029741</v>
      </c>
      <c r="LZ79" s="561">
        <f t="shared" si="743"/>
        <v>428.72400193865258</v>
      </c>
      <c r="MA79" s="562">
        <f t="shared" si="743"/>
        <v>710.50987292106481</v>
      </c>
      <c r="MC79" s="559" t="s">
        <v>599</v>
      </c>
      <c r="MD79" s="583">
        <f t="shared" ref="MD79:MU79" si="744">MD43+MD44+MD45+MD46+MD47</f>
        <v>4.5737249999999996</v>
      </c>
      <c r="ME79" s="561">
        <f t="shared" si="744"/>
        <v>174.966139</v>
      </c>
      <c r="MF79" s="561">
        <f t="shared" si="744"/>
        <v>1018.48848</v>
      </c>
      <c r="MG79" s="561">
        <f t="shared" si="744"/>
        <v>1641.4102250000001</v>
      </c>
      <c r="MH79" s="561">
        <f t="shared" si="744"/>
        <v>1699.7143209999999</v>
      </c>
      <c r="MI79" s="562">
        <f t="shared" si="744"/>
        <v>1009.1546659999999</v>
      </c>
      <c r="MJ79" s="583">
        <f t="shared" si="744"/>
        <v>0</v>
      </c>
      <c r="MK79" s="561">
        <f t="shared" si="744"/>
        <v>226.88512447380967</v>
      </c>
      <c r="ML79" s="561">
        <f t="shared" si="744"/>
        <v>982.47374463333745</v>
      </c>
      <c r="MM79" s="561">
        <f t="shared" si="744"/>
        <v>1595.4977787882433</v>
      </c>
      <c r="MN79" s="561">
        <f t="shared" si="744"/>
        <v>1697.2093757966984</v>
      </c>
      <c r="MO79" s="562">
        <f t="shared" si="744"/>
        <v>1150.8018460529993</v>
      </c>
      <c r="MP79" s="583">
        <f t="shared" si="744"/>
        <v>0</v>
      </c>
      <c r="MQ79" s="561">
        <f t="shared" si="744"/>
        <v>330.79634711585868</v>
      </c>
      <c r="MR79" s="561">
        <f t="shared" si="744"/>
        <v>1227.322071583144</v>
      </c>
      <c r="MS79" s="561">
        <f t="shared" si="744"/>
        <v>2279.2820590804349</v>
      </c>
      <c r="MT79" s="561">
        <f t="shared" si="744"/>
        <v>2334.9798137228395</v>
      </c>
      <c r="MU79" s="562">
        <f t="shared" si="744"/>
        <v>1258.190201511168</v>
      </c>
      <c r="MW79" s="559" t="s">
        <v>599</v>
      </c>
      <c r="MX79" s="623">
        <f t="shared" ref="MX79:NF79" si="745">MX43+MX44+MX45+MX46+MX47</f>
        <v>5622.6984289999991</v>
      </c>
      <c r="MY79" s="619">
        <f t="shared" si="745"/>
        <v>5200.8841070000008</v>
      </c>
      <c r="MZ79" s="619">
        <f t="shared" si="745"/>
        <v>421.81431999999995</v>
      </c>
      <c r="NA79" s="623">
        <f t="shared" si="745"/>
        <v>5730.9208009015847</v>
      </c>
      <c r="NB79" s="619">
        <f t="shared" si="745"/>
        <v>5286.1798051816113</v>
      </c>
      <c r="NC79" s="620">
        <f t="shared" si="745"/>
        <v>444.74099571997306</v>
      </c>
      <c r="ND79" s="623">
        <f t="shared" si="745"/>
        <v>7510.788585424717</v>
      </c>
      <c r="NE79" s="619">
        <f t="shared" si="745"/>
        <v>6917.2839933349942</v>
      </c>
      <c r="NF79" s="620">
        <f t="shared" si="745"/>
        <v>593.50459208971529</v>
      </c>
      <c r="NH79" s="559" t="s">
        <v>599</v>
      </c>
      <c r="NI79" s="623">
        <f t="shared" ref="NI79:NR79" si="746">NI43+NI44+NI45+NI46+NI47</f>
        <v>4323.8318072936108</v>
      </c>
      <c r="NJ79" s="620">
        <f t="shared" si="746"/>
        <v>962.34799788800103</v>
      </c>
      <c r="NK79" s="623">
        <f t="shared" si="746"/>
        <v>238.30614659189064</v>
      </c>
      <c r="NL79" s="619">
        <f t="shared" si="746"/>
        <v>195.34714563567849</v>
      </c>
      <c r="NM79" s="620">
        <f t="shared" si="746"/>
        <v>11.08770349240389</v>
      </c>
      <c r="NN79" s="623">
        <f t="shared" si="746"/>
        <v>5569.9748096673147</v>
      </c>
      <c r="NO79" s="620">
        <f t="shared" si="746"/>
        <v>1347.3091836676817</v>
      </c>
      <c r="NP79" s="623">
        <f t="shared" si="746"/>
        <v>396.61619078002468</v>
      </c>
      <c r="NQ79" s="619">
        <f t="shared" si="746"/>
        <v>191.23108954145803</v>
      </c>
      <c r="NR79" s="620">
        <f t="shared" si="746"/>
        <v>5.6573117682328338</v>
      </c>
      <c r="NS79" s="136"/>
      <c r="NT79" s="559" t="s">
        <v>599</v>
      </c>
      <c r="NU79" s="623">
        <f t="shared" ref="NU79:OB79" si="747">NU43+NU44+NU45+NU46+NU47</f>
        <v>587.53688627969382</v>
      </c>
      <c r="NV79" s="619">
        <f t="shared" si="747"/>
        <v>117.86727206261787</v>
      </c>
      <c r="NW79" s="619">
        <f t="shared" si="747"/>
        <v>38.693399463702612</v>
      </c>
      <c r="NX79" s="620">
        <f t="shared" si="747"/>
        <v>218.25044008198677</v>
      </c>
      <c r="NY79" s="623">
        <f t="shared" si="747"/>
        <v>812.79778076297384</v>
      </c>
      <c r="NZ79" s="619">
        <f t="shared" si="747"/>
        <v>204.88596515625591</v>
      </c>
      <c r="OA79" s="619">
        <f t="shared" si="747"/>
        <v>54.157789983986035</v>
      </c>
      <c r="OB79" s="620">
        <f t="shared" si="747"/>
        <v>275.46764776446588</v>
      </c>
      <c r="OC79" s="553"/>
      <c r="OD79" s="559" t="s">
        <v>599</v>
      </c>
      <c r="OE79" s="583">
        <f t="shared" ref="OE79:OR79" si="748">OE43+OE44+OE45+OE46+OE47</f>
        <v>444.69512489041671</v>
      </c>
      <c r="OF79" s="561">
        <f t="shared" si="748"/>
        <v>824.58488271542763</v>
      </c>
      <c r="OG79" s="561">
        <f t="shared" si="748"/>
        <v>637.67939593273263</v>
      </c>
      <c r="OH79" s="561">
        <f t="shared" si="748"/>
        <v>503.7062557117066</v>
      </c>
      <c r="OI79" s="561">
        <f t="shared" si="748"/>
        <v>1174.4268093417809</v>
      </c>
      <c r="OJ79" s="561">
        <f t="shared" si="748"/>
        <v>148.15380394624506</v>
      </c>
      <c r="OK79" s="562">
        <f t="shared" si="748"/>
        <v>120.8399600270567</v>
      </c>
      <c r="OL79" s="583">
        <f t="shared" si="748"/>
        <v>624.7582320424907</v>
      </c>
      <c r="OM79" s="561">
        <f t="shared" si="748"/>
        <v>853.71933870569273</v>
      </c>
      <c r="ON79" s="561">
        <f t="shared" si="748"/>
        <v>669.31848038617363</v>
      </c>
      <c r="OO79" s="561">
        <f t="shared" si="748"/>
        <v>533.66600234825637</v>
      </c>
      <c r="OP79" s="561">
        <f t="shared" si="748"/>
        <v>2302.3398979772528</v>
      </c>
      <c r="OQ79" s="561">
        <f t="shared" si="748"/>
        <v>1642.5378203992418</v>
      </c>
      <c r="OR79" s="562">
        <f t="shared" si="748"/>
        <v>10001.796043056962</v>
      </c>
      <c r="OT79" s="559" t="s">
        <v>599</v>
      </c>
      <c r="OU79" s="583">
        <f t="shared" ref="OU79:PF79" si="749">OU43+OU44+OU45+OU46+OU47</f>
        <v>3299.0328490000002</v>
      </c>
      <c r="OV79" s="561">
        <f t="shared" si="749"/>
        <v>1982.7201730000002</v>
      </c>
      <c r="OW79" s="561">
        <f t="shared" si="749"/>
        <v>1827.0671159999999</v>
      </c>
      <c r="OX79" s="562">
        <f t="shared" si="749"/>
        <v>2701.3528130000004</v>
      </c>
      <c r="OY79" s="583">
        <f t="shared" si="749"/>
        <v>3218.0024201264127</v>
      </c>
      <c r="OZ79" s="561">
        <f t="shared" si="749"/>
        <v>2167.8255142050939</v>
      </c>
      <c r="PA79" s="561">
        <f t="shared" si="749"/>
        <v>1859.4075870444155</v>
      </c>
      <c r="PB79" s="562">
        <f t="shared" si="749"/>
        <v>3222.2884769173461</v>
      </c>
      <c r="PC79" s="583">
        <f t="shared" si="749"/>
        <v>2981.165606205107</v>
      </c>
      <c r="PD79" s="561">
        <f t="shared" si="749"/>
        <v>2498.9632919586488</v>
      </c>
      <c r="PE79" s="561">
        <f t="shared" si="749"/>
        <v>2304.824581362257</v>
      </c>
      <c r="PF79" s="562">
        <f t="shared" si="749"/>
        <v>4748.2594552289047</v>
      </c>
      <c r="PH79" s="559" t="s">
        <v>599</v>
      </c>
      <c r="PI79" s="623">
        <f t="shared" ref="PI79:PP79" si="750">PI43+PI44+PI45+PI46+PI47</f>
        <v>1141.8599614998243</v>
      </c>
      <c r="PJ79" s="619">
        <f t="shared" si="750"/>
        <v>1279.8178794938551</v>
      </c>
      <c r="PK79" s="619">
        <f t="shared" si="750"/>
        <v>1072.2588476079084</v>
      </c>
      <c r="PL79" s="620">
        <f t="shared" si="750"/>
        <v>2124.2462526454337</v>
      </c>
      <c r="PM79" s="623">
        <f t="shared" si="750"/>
        <v>1839.3056447052811</v>
      </c>
      <c r="PN79" s="619">
        <f t="shared" si="750"/>
        <v>1219.1454124647939</v>
      </c>
      <c r="PO79" s="619">
        <f t="shared" si="750"/>
        <v>1232.5657337543498</v>
      </c>
      <c r="PP79" s="620">
        <f t="shared" si="750"/>
        <v>2624.0132025834705</v>
      </c>
      <c r="PQ79" s="65"/>
      <c r="PR79" s="563" t="s">
        <v>599</v>
      </c>
      <c r="PS79" s="1044">
        <f t="shared" ref="PS79:PW79" si="751">PS43+PS44+PS45+PS46+PS47</f>
        <v>152.76647967253689</v>
      </c>
      <c r="PT79" s="1045">
        <f t="shared" si="751"/>
        <v>353.05577122469901</v>
      </c>
      <c r="PU79" s="1045">
        <f t="shared" si="751"/>
        <v>382.8051539306116</v>
      </c>
      <c r="PV79" s="1045">
        <f t="shared" si="751"/>
        <v>91.361950025144054</v>
      </c>
      <c r="PW79" s="1045">
        <f t="shared" si="751"/>
        <v>4782.0436554351791</v>
      </c>
      <c r="PX79" s="1046">
        <f t="shared" ref="PX79" si="752">PX43+PX44+PX45+PX46+PX47</f>
        <v>1747.75557412116</v>
      </c>
      <c r="PZ79" s="563" t="s">
        <v>599</v>
      </c>
      <c r="QA79" s="1044">
        <f t="shared" ref="QA79:QF79" si="753">QA43+QA44+QA45+QA46+QA47</f>
        <v>4713.7535973622489</v>
      </c>
      <c r="QB79" s="1045">
        <f t="shared" si="753"/>
        <v>2797.0349880624653</v>
      </c>
      <c r="QC79" s="1045">
        <f t="shared" si="753"/>
        <v>2376.8648319017238</v>
      </c>
      <c r="QD79" s="1045">
        <f t="shared" ref="QD79" si="754">QD43+QD44+QD45+QD46+QD47</f>
        <v>200.97204799927709</v>
      </c>
      <c r="QE79" s="1045">
        <f t="shared" si="753"/>
        <v>211.57962635039553</v>
      </c>
      <c r="QF79" s="1046">
        <f t="shared" si="753"/>
        <v>7.6184818110636705</v>
      </c>
    </row>
    <row r="80" spans="1:448" ht="13.5" customHeight="1">
      <c r="A80" s="136"/>
      <c r="B80" s="559" t="s">
        <v>600</v>
      </c>
      <c r="C80" s="561">
        <f t="shared" ref="C80" si="755">C48+C49</f>
        <v>6773.0152330000001</v>
      </c>
      <c r="D80" s="561">
        <f t="shared" ref="D80:E80" si="756">D48+D49</f>
        <v>7001.897130317182</v>
      </c>
      <c r="E80" s="562">
        <f t="shared" si="756"/>
        <v>7252.6282223418802</v>
      </c>
      <c r="F80" s="136"/>
      <c r="G80" s="559" t="s">
        <v>600</v>
      </c>
      <c r="H80" s="318">
        <f t="shared" si="447"/>
        <v>6.6690923441277139E-3</v>
      </c>
      <c r="I80" s="668">
        <f t="shared" si="448"/>
        <v>7.0613718669707559E-3</v>
      </c>
      <c r="J80" s="612"/>
      <c r="K80" s="63"/>
      <c r="L80" s="559" t="s">
        <v>600</v>
      </c>
      <c r="M80" s="583">
        <f t="shared" ref="M80:T80" si="757">M48+M49</f>
        <v>62</v>
      </c>
      <c r="N80" s="561">
        <f t="shared" si="757"/>
        <v>82</v>
      </c>
      <c r="O80" s="561">
        <f t="shared" si="757"/>
        <v>84</v>
      </c>
      <c r="P80" s="561">
        <f t="shared" si="757"/>
        <v>111</v>
      </c>
      <c r="Q80" s="561">
        <f t="shared" si="757"/>
        <v>75</v>
      </c>
      <c r="R80" s="561">
        <f t="shared" si="757"/>
        <v>72</v>
      </c>
      <c r="S80" s="561">
        <f t="shared" si="757"/>
        <v>81</v>
      </c>
      <c r="T80" s="561">
        <f t="shared" si="757"/>
        <v>84</v>
      </c>
      <c r="U80" s="561">
        <f t="shared" ref="U80:V80" si="758">U48+U49</f>
        <v>59</v>
      </c>
      <c r="V80" s="561">
        <f t="shared" si="758"/>
        <v>62</v>
      </c>
      <c r="W80" s="562">
        <f t="shared" ref="W80" si="759">W48+W49</f>
        <v>70</v>
      </c>
      <c r="X80" s="559" t="s">
        <v>600</v>
      </c>
      <c r="Y80" s="583">
        <f t="shared" ref="Y80:AB80" si="760">Y48+Y49</f>
        <v>72</v>
      </c>
      <c r="Z80" s="561">
        <f t="shared" si="760"/>
        <v>97.5</v>
      </c>
      <c r="AA80" s="561">
        <f t="shared" si="760"/>
        <v>73.5</v>
      </c>
      <c r="AB80" s="561">
        <f t="shared" si="760"/>
        <v>82.5</v>
      </c>
      <c r="AC80" s="1206">
        <f t="shared" ref="AC80" si="761">AC48+AC49</f>
        <v>82.5</v>
      </c>
      <c r="AD80" s="336">
        <f t="shared" si="98"/>
        <v>0.35416666666666669</v>
      </c>
      <c r="AE80" s="336">
        <f t="shared" si="99"/>
        <v>-0.24615384615384617</v>
      </c>
      <c r="AF80" s="336">
        <f t="shared" si="100"/>
        <v>0.12244897959183673</v>
      </c>
      <c r="AG80" s="1217">
        <f t="shared" si="101"/>
        <v>0</v>
      </c>
      <c r="AN80" s="559" t="s">
        <v>600</v>
      </c>
      <c r="AO80" s="583">
        <f t="shared" ref="AO80:AV80" si="762">AO48+AO49</f>
        <v>5.554468</v>
      </c>
      <c r="AP80" s="561">
        <f t="shared" si="762"/>
        <v>165.62224599999999</v>
      </c>
      <c r="AQ80" s="561">
        <f t="shared" si="762"/>
        <v>528.79423699999995</v>
      </c>
      <c r="AR80" s="561">
        <f t="shared" si="762"/>
        <v>962.41648099999998</v>
      </c>
      <c r="AS80" s="561">
        <f t="shared" si="762"/>
        <v>1144.8117560000001</v>
      </c>
      <c r="AT80" s="561">
        <f t="shared" si="762"/>
        <v>846.35048299999994</v>
      </c>
      <c r="AU80" s="561">
        <f t="shared" si="762"/>
        <v>1180.0986859999998</v>
      </c>
      <c r="AV80" s="562">
        <f t="shared" si="762"/>
        <v>917.70023900000001</v>
      </c>
      <c r="AW80" s="583">
        <f t="shared" ref="AW80:BD80" si="763">AW48+AW49</f>
        <v>2.1572789556677598</v>
      </c>
      <c r="AX80" s="561">
        <f t="shared" si="763"/>
        <v>116.07887169619698</v>
      </c>
      <c r="AY80" s="561">
        <f t="shared" si="763"/>
        <v>682.60040158048241</v>
      </c>
      <c r="AZ80" s="561">
        <f t="shared" si="763"/>
        <v>1060.9882139989827</v>
      </c>
      <c r="BA80" s="561">
        <f t="shared" si="763"/>
        <v>1144.9369242170242</v>
      </c>
      <c r="BB80" s="561">
        <f t="shared" si="763"/>
        <v>716.05959697545518</v>
      </c>
      <c r="BC80" s="561">
        <f t="shared" si="763"/>
        <v>1341.058866805015</v>
      </c>
      <c r="BD80" s="562">
        <f t="shared" si="763"/>
        <v>870.75421355763115</v>
      </c>
      <c r="BE80" s="583">
        <f t="shared" ref="BE80:BL80" si="764">BE48+BE49</f>
        <v>1.0413425601953701</v>
      </c>
      <c r="BF80" s="561">
        <f t="shared" si="764"/>
        <v>141.97154872987198</v>
      </c>
      <c r="BG80" s="561">
        <f t="shared" si="764"/>
        <v>696.720444560803</v>
      </c>
      <c r="BH80" s="561">
        <f t="shared" si="764"/>
        <v>1161.5612511664681</v>
      </c>
      <c r="BI80" s="561">
        <f t="shared" si="764"/>
        <v>1151.698118604628</v>
      </c>
      <c r="BJ80" s="561">
        <f t="shared" si="764"/>
        <v>614.25767293122203</v>
      </c>
      <c r="BK80" s="561">
        <f t="shared" si="764"/>
        <v>1557.3549720756951</v>
      </c>
      <c r="BL80" s="562">
        <f t="shared" si="764"/>
        <v>885.75478379562105</v>
      </c>
      <c r="BN80" s="559" t="s">
        <v>600</v>
      </c>
      <c r="BO80" s="583">
        <f t="shared" ref="BO80:BT80" si="765">BO48+BO49</f>
        <v>1042.6666089999999</v>
      </c>
      <c r="BP80" s="561">
        <f t="shared" si="765"/>
        <v>1726.0248430000001</v>
      </c>
      <c r="BQ80" s="561">
        <f t="shared" si="765"/>
        <v>1380.5543130000001</v>
      </c>
      <c r="BR80" s="561">
        <f t="shared" si="765"/>
        <v>1342.759677</v>
      </c>
      <c r="BS80" s="561">
        <f t="shared" si="765"/>
        <v>790.211321</v>
      </c>
      <c r="BT80" s="562">
        <f t="shared" si="765"/>
        <v>490.79846999999995</v>
      </c>
      <c r="BU80" s="583">
        <f t="shared" ref="BU80:BZ80" si="766">BU48+BU49</f>
        <v>1072.262758623162</v>
      </c>
      <c r="BV80" s="561">
        <f t="shared" si="766"/>
        <v>1745.5150080552662</v>
      </c>
      <c r="BW80" s="561">
        <f t="shared" si="766"/>
        <v>1322.6392498894168</v>
      </c>
      <c r="BX80" s="561">
        <f t="shared" si="766"/>
        <v>1321.1868332709564</v>
      </c>
      <c r="BY80" s="561">
        <f t="shared" si="766"/>
        <v>888.4508159330378</v>
      </c>
      <c r="BZ80" s="562">
        <f t="shared" si="766"/>
        <v>651.84246454534275</v>
      </c>
      <c r="CA80" s="583">
        <f t="shared" ref="CA80:CF80" si="767">CA48+CA49</f>
        <v>1059.268105178917</v>
      </c>
      <c r="CB80" s="561">
        <f t="shared" si="767"/>
        <v>1649.5712988548501</v>
      </c>
      <c r="CC80" s="561">
        <f t="shared" si="767"/>
        <v>1362.84726030771</v>
      </c>
      <c r="CD80" s="561">
        <f t="shared" si="767"/>
        <v>1435.3049335205769</v>
      </c>
      <c r="CE80" s="561">
        <f t="shared" si="767"/>
        <v>1071.0377990607731</v>
      </c>
      <c r="CF80" s="562">
        <f t="shared" si="767"/>
        <v>674.59882541905108</v>
      </c>
      <c r="CG80" s="429"/>
      <c r="CH80" s="559" t="s">
        <v>600</v>
      </c>
      <c r="CI80" s="583">
        <f t="shared" ref="CI80:CK80" si="768">CI48+CI49</f>
        <v>1532.5729679999999</v>
      </c>
      <c r="CJ80" s="561">
        <f t="shared" si="768"/>
        <v>4296.718742</v>
      </c>
      <c r="CK80" s="561">
        <f t="shared" si="768"/>
        <v>943.723522</v>
      </c>
      <c r="CL80" s="583">
        <f t="shared" ref="CL80:CN80" si="769">CL48+CL49</f>
        <v>1508.6998758555412</v>
      </c>
      <c r="CM80" s="561">
        <f t="shared" si="769"/>
        <v>4346.1506187680279</v>
      </c>
      <c r="CN80" s="561">
        <f t="shared" si="769"/>
        <v>1147.0466356936124</v>
      </c>
      <c r="CO80" s="583">
        <f t="shared" ref="CO80:CQ80" si="770">CO48+CO49</f>
        <v>1566.3364304886099</v>
      </c>
      <c r="CP80" s="561">
        <f t="shared" si="770"/>
        <v>4294.9341537831697</v>
      </c>
      <c r="CQ80" s="562">
        <f t="shared" si="770"/>
        <v>1391.3576380700961</v>
      </c>
      <c r="CR80" s="429"/>
      <c r="DG80" s="559" t="s">
        <v>600</v>
      </c>
      <c r="DH80" s="829"/>
      <c r="DI80" s="830"/>
      <c r="DJ80" s="830"/>
      <c r="DK80" s="830"/>
      <c r="DL80" s="830"/>
      <c r="DM80" s="831"/>
      <c r="DO80" s="559" t="s">
        <v>600</v>
      </c>
      <c r="DP80" s="704">
        <f t="shared" ref="DP80:DR80" si="771">DP48+DP49</f>
        <v>2831.5057080000001</v>
      </c>
      <c r="DQ80" s="561">
        <f t="shared" si="771"/>
        <v>3116.9118747499224</v>
      </c>
      <c r="DR80" s="562">
        <f t="shared" si="771"/>
        <v>3438.1061015939304</v>
      </c>
      <c r="DS80" s="63"/>
      <c r="DT80" s="559" t="s">
        <v>600</v>
      </c>
      <c r="DU80" s="583">
        <f t="shared" ref="DU80:DW80" si="772">DU48+DU49</f>
        <v>6149.0159939999994</v>
      </c>
      <c r="DV80" s="561">
        <f t="shared" si="772"/>
        <v>6413.897589846667</v>
      </c>
      <c r="DW80" s="562">
        <f t="shared" si="772"/>
        <v>6823.6277867417102</v>
      </c>
      <c r="DX80" s="63"/>
      <c r="DY80" s="559" t="s">
        <v>600</v>
      </c>
      <c r="DZ80" s="1092">
        <f t="shared" si="410"/>
        <v>2.1716417440469447</v>
      </c>
      <c r="EA80" s="790">
        <f t="shared" si="411"/>
        <v>2.0577731574015932</v>
      </c>
      <c r="EB80" s="779">
        <f t="shared" si="412"/>
        <v>1.9847054119645196</v>
      </c>
      <c r="ED80" s="541"/>
      <c r="EE80" s="559" t="s">
        <v>600</v>
      </c>
      <c r="EF80" s="583">
        <f t="shared" ref="EF80:EJ80" si="773">EF48+EF49</f>
        <v>1006.2190909999999</v>
      </c>
      <c r="EG80" s="561">
        <f t="shared" si="773"/>
        <v>79.995353999999992</v>
      </c>
      <c r="EH80" s="561">
        <f t="shared" si="773"/>
        <v>774.03169500000001</v>
      </c>
      <c r="EI80" s="561">
        <f t="shared" si="773"/>
        <v>758.75003199999992</v>
      </c>
      <c r="EJ80" s="561">
        <f t="shared" si="773"/>
        <v>212.509535</v>
      </c>
      <c r="EK80" s="583">
        <f t="shared" ref="EK80:EO80" si="774">EK48+EK49</f>
        <v>1232.4404065584572</v>
      </c>
      <c r="EL80" s="561">
        <f t="shared" si="774"/>
        <v>71.157784907878252</v>
      </c>
      <c r="EM80" s="561">
        <f t="shared" si="774"/>
        <v>833.73692187192319</v>
      </c>
      <c r="EN80" s="561">
        <f t="shared" si="774"/>
        <v>725.10764895803777</v>
      </c>
      <c r="EO80" s="561">
        <f t="shared" si="774"/>
        <v>254.46911245362577</v>
      </c>
      <c r="EP80" s="583">
        <f t="shared" ref="EP80:ET80" si="775">EP48+EP49</f>
        <v>1502.1654931561761</v>
      </c>
      <c r="EQ80" s="561">
        <f t="shared" si="775"/>
        <v>67.45040928602441</v>
      </c>
      <c r="ER80" s="561">
        <f t="shared" si="775"/>
        <v>865.32997165989491</v>
      </c>
      <c r="ES80" s="561">
        <f t="shared" si="775"/>
        <v>709.77244676907003</v>
      </c>
      <c r="ET80" s="562">
        <f t="shared" si="775"/>
        <v>293.38778072276301</v>
      </c>
      <c r="EV80" s="559" t="s">
        <v>600</v>
      </c>
      <c r="EW80" s="583">
        <f t="shared" ref="EW80:FD80" si="776">EW48+EW49</f>
        <v>204.136458</v>
      </c>
      <c r="EX80" s="561">
        <f t="shared" si="776"/>
        <v>451.73614900000001</v>
      </c>
      <c r="EY80" s="561">
        <f t="shared" si="776"/>
        <v>288.05119400000001</v>
      </c>
      <c r="EZ80" s="561">
        <f t="shared" si="776"/>
        <v>61.295292000000003</v>
      </c>
      <c r="FA80" s="583">
        <f t="shared" si="776"/>
        <v>1038.5099070000001</v>
      </c>
      <c r="FB80" s="561">
        <f t="shared" si="776"/>
        <v>2669.2135050000002</v>
      </c>
      <c r="FC80" s="561">
        <f t="shared" si="776"/>
        <v>1279.2250119999999</v>
      </c>
      <c r="FD80" s="561">
        <f t="shared" si="776"/>
        <v>151.40092200000001</v>
      </c>
      <c r="FE80" s="583">
        <f t="shared" ref="FE80:FL80" si="777">FE48+FE49</f>
        <v>234.14349105176626</v>
      </c>
      <c r="FF80" s="561">
        <f t="shared" si="777"/>
        <v>503.6426537440708</v>
      </c>
      <c r="FG80" s="561">
        <f t="shared" si="777"/>
        <v>344.90882154854228</v>
      </c>
      <c r="FH80" s="562">
        <f t="shared" si="777"/>
        <v>147.74544177710334</v>
      </c>
      <c r="FI80" s="583">
        <f t="shared" si="777"/>
        <v>1037.2493622581012</v>
      </c>
      <c r="FJ80" s="561">
        <f t="shared" si="777"/>
        <v>2589.7435867666018</v>
      </c>
      <c r="FK80" s="561">
        <f t="shared" si="777"/>
        <v>1468.6498891295651</v>
      </c>
      <c r="FL80" s="562">
        <f t="shared" si="777"/>
        <v>281.99196493477962</v>
      </c>
      <c r="FM80" s="703">
        <f t="shared" ref="FM80:FT80" si="778">FM48+FM49</f>
        <v>246.97708729309898</v>
      </c>
      <c r="FN80" s="704">
        <f t="shared" si="778"/>
        <v>736.69890051740504</v>
      </c>
      <c r="FO80" s="704">
        <f t="shared" si="778"/>
        <v>428.99108264723395</v>
      </c>
      <c r="FP80" s="173">
        <f t="shared" si="778"/>
        <v>86.498419652282792</v>
      </c>
      <c r="FQ80" s="703">
        <f t="shared" si="778"/>
        <v>1070.428534523576</v>
      </c>
      <c r="FR80" s="704">
        <f t="shared" si="778"/>
        <v>2728.50938029703</v>
      </c>
      <c r="FS80" s="704">
        <f t="shared" si="778"/>
        <v>1690.716810049893</v>
      </c>
      <c r="FT80" s="173">
        <f t="shared" si="778"/>
        <v>279.70496176920801</v>
      </c>
      <c r="FV80" s="559" t="s">
        <v>600</v>
      </c>
      <c r="FW80" s="583">
        <f t="shared" ref="FW80:GH80" si="779">FW48+FW49</f>
        <v>842.96222399999999</v>
      </c>
      <c r="FX80" s="561">
        <f t="shared" si="779"/>
        <v>429.16585900000001</v>
      </c>
      <c r="FY80" s="561">
        <f t="shared" si="779"/>
        <v>358.66518199999996</v>
      </c>
      <c r="FZ80" s="562">
        <f t="shared" si="779"/>
        <v>122.711759</v>
      </c>
      <c r="GA80" s="583">
        <f t="shared" si="779"/>
        <v>904.88795802691857</v>
      </c>
      <c r="GB80" s="561">
        <f t="shared" si="779"/>
        <v>468.00030577667758</v>
      </c>
      <c r="GC80" s="561">
        <f t="shared" si="779"/>
        <v>316.88574493818214</v>
      </c>
      <c r="GD80" s="562">
        <f t="shared" si="779"/>
        <v>123.53967454180849</v>
      </c>
      <c r="GE80" s="583">
        <f t="shared" si="779"/>
        <v>943.27746377614108</v>
      </c>
      <c r="GF80" s="561">
        <f t="shared" si="779"/>
        <v>461.80166188113998</v>
      </c>
      <c r="GG80" s="561">
        <f t="shared" si="779"/>
        <v>354.84412389334898</v>
      </c>
      <c r="GH80" s="562">
        <f t="shared" si="779"/>
        <v>112.0473007519945</v>
      </c>
      <c r="GJ80" s="559" t="s">
        <v>600</v>
      </c>
      <c r="GK80" s="561">
        <f t="shared" ref="GK80:GM80" si="780">GK48+GK49</f>
        <v>3006.4965470000002</v>
      </c>
      <c r="GL80" s="561">
        <f t="shared" si="780"/>
        <v>3439.9975656548113</v>
      </c>
      <c r="GM80" s="562">
        <f t="shared" si="780"/>
        <v>3818.5034899825</v>
      </c>
      <c r="GO80" s="559" t="s">
        <v>600</v>
      </c>
      <c r="GP80" s="583">
        <f t="shared" ref="GP80:GX80" si="781">GP48+GP49</f>
        <v>2830.505709</v>
      </c>
      <c r="GQ80" s="561">
        <f t="shared" si="781"/>
        <v>25.590192000000002</v>
      </c>
      <c r="GR80" s="562">
        <f t="shared" si="781"/>
        <v>150.400645</v>
      </c>
      <c r="GS80" s="583">
        <f t="shared" si="781"/>
        <v>3114.9118763129477</v>
      </c>
      <c r="GT80" s="561">
        <f t="shared" si="781"/>
        <v>34.946124387862312</v>
      </c>
      <c r="GU80" s="562">
        <f t="shared" si="781"/>
        <v>290.13956495400129</v>
      </c>
      <c r="GV80" s="583">
        <f t="shared" si="781"/>
        <v>3437.10610057854</v>
      </c>
      <c r="GW80" s="561">
        <f t="shared" si="781"/>
        <v>49.1223495492588</v>
      </c>
      <c r="GX80" s="562">
        <f t="shared" si="781"/>
        <v>332.27503985469599</v>
      </c>
      <c r="GZ80" s="559" t="s">
        <v>600</v>
      </c>
      <c r="HA80" s="583">
        <f t="shared" ref="HA80:HI80" si="782">HA48+HA49</f>
        <v>1489.073705</v>
      </c>
      <c r="HB80" s="561">
        <f t="shared" si="782"/>
        <v>1514.4373639999999</v>
      </c>
      <c r="HC80" s="562">
        <f t="shared" si="782"/>
        <v>2.9854780000002847</v>
      </c>
      <c r="HD80" s="583">
        <f t="shared" si="782"/>
        <v>1649.0103169541044</v>
      </c>
      <c r="HE80" s="561">
        <f t="shared" si="782"/>
        <v>1790.9872487007069</v>
      </c>
      <c r="HF80" s="562">
        <f t="shared" si="782"/>
        <v>0</v>
      </c>
      <c r="HG80" s="583">
        <f t="shared" si="782"/>
        <v>1724.6164224047338</v>
      </c>
      <c r="HH80" s="561">
        <f t="shared" si="782"/>
        <v>2086.7913497950158</v>
      </c>
      <c r="HI80" s="562">
        <f t="shared" si="782"/>
        <v>7.0957177827499436</v>
      </c>
      <c r="HK80" s="559" t="s">
        <v>600</v>
      </c>
      <c r="HL80" s="561">
        <f t="shared" ref="HL80:HO80" si="783">HL48+HL49</f>
        <v>2830.505709</v>
      </c>
      <c r="HM80" s="561">
        <f t="shared" ref="HM80" si="784">HM48+HM49</f>
        <v>10688.705428000001</v>
      </c>
      <c r="HN80" s="779">
        <f t="shared" si="477"/>
        <v>3.7762529126910871</v>
      </c>
      <c r="HO80" s="583">
        <f t="shared" si="783"/>
        <v>3114.9118763129477</v>
      </c>
      <c r="HP80" s="561">
        <f t="shared" ref="HP80" si="785">HP48+HP49</f>
        <v>11717.537222803821</v>
      </c>
      <c r="HQ80" s="779">
        <f t="shared" si="479"/>
        <v>3.761755609174283</v>
      </c>
      <c r="HR80" s="561">
        <f>HR48+HR49</f>
        <v>3437.10610057854</v>
      </c>
      <c r="HS80" s="561">
        <f>HS48+HS49</f>
        <v>12641.954022286722</v>
      </c>
      <c r="HT80" s="784">
        <f t="shared" si="480"/>
        <v>3.6780808192562939</v>
      </c>
      <c r="HV80" s="559" t="s">
        <v>600</v>
      </c>
      <c r="HW80" s="583">
        <f>HW48+HW49</f>
        <v>1407.0513340000002</v>
      </c>
      <c r="HX80" s="561">
        <f>HX48+HX49</f>
        <v>6970.2238500000003</v>
      </c>
      <c r="HY80" s="790">
        <f t="shared" si="481"/>
        <v>4.9537807765583617</v>
      </c>
      <c r="HZ80" s="561">
        <f>HZ48+HZ49</f>
        <v>1420.4688980000001</v>
      </c>
      <c r="IA80" s="561">
        <f>IA48+IA49</f>
        <v>3713.510624</v>
      </c>
      <c r="IB80" s="790">
        <f t="shared" si="482"/>
        <v>2.6142850640577699</v>
      </c>
      <c r="IC80" s="583">
        <f>IC48+IC49</f>
        <v>1542.8647220275811</v>
      </c>
      <c r="ID80" s="561">
        <f>ID48+ID49</f>
        <v>7617.1685706294948</v>
      </c>
      <c r="IE80" s="790">
        <f t="shared" si="483"/>
        <v>4.9370294503974836</v>
      </c>
      <c r="IF80" s="561">
        <f>IF48+IF49</f>
        <v>1572.0471542853668</v>
      </c>
      <c r="IG80" s="561">
        <f>IG48+IG49</f>
        <v>4100.3686521743257</v>
      </c>
      <c r="IH80" s="790">
        <f t="shared" si="126"/>
        <v>2.6082987657188328</v>
      </c>
      <c r="II80" s="583">
        <f>II48+II49</f>
        <v>1596.894404094475</v>
      </c>
      <c r="IJ80" s="561">
        <f>IJ48+IJ49</f>
        <v>8016.0390569964293</v>
      </c>
      <c r="IK80" s="790">
        <f t="shared" si="484"/>
        <v>5.019767767012719</v>
      </c>
      <c r="IL80" s="561">
        <f>IL48+IL49</f>
        <v>1833.115978701323</v>
      </c>
      <c r="IM80" s="561">
        <f>IM48+IM49</f>
        <v>4615.3388963566595</v>
      </c>
      <c r="IN80" s="779">
        <f t="shared" si="485"/>
        <v>2.517756077619492</v>
      </c>
      <c r="IP80" s="559" t="s">
        <v>600</v>
      </c>
      <c r="IQ80" s="583">
        <f>IQ48+IQ49</f>
        <v>257.50376900000003</v>
      </c>
      <c r="IR80" s="561">
        <f t="shared" ref="IR80:JH80" si="786">IR48+IR49</f>
        <v>424.94646</v>
      </c>
      <c r="IS80" s="561">
        <f t="shared" si="786"/>
        <v>628.61520700000005</v>
      </c>
      <c r="IT80" s="561">
        <f t="shared" si="786"/>
        <v>615.804531</v>
      </c>
      <c r="IU80" s="561">
        <f t="shared" si="786"/>
        <v>903.63574100000005</v>
      </c>
      <c r="IV80" s="561">
        <f t="shared" si="786"/>
        <v>10688.705428000001</v>
      </c>
      <c r="IW80" s="703">
        <f t="shared" si="786"/>
        <v>223.84407313470638</v>
      </c>
      <c r="IX80" s="704">
        <f t="shared" si="786"/>
        <v>542.80321806344239</v>
      </c>
      <c r="IY80" s="704">
        <f t="shared" si="786"/>
        <v>749.91773907249149</v>
      </c>
      <c r="IZ80" s="704">
        <f t="shared" si="786"/>
        <v>717.59367799758388</v>
      </c>
      <c r="JA80" s="704">
        <f t="shared" si="786"/>
        <v>880.75316804472357</v>
      </c>
      <c r="JB80" s="173">
        <f t="shared" si="786"/>
        <v>11717.537222803821</v>
      </c>
      <c r="JC80" s="703">
        <f t="shared" si="786"/>
        <v>270.03057571293505</v>
      </c>
      <c r="JD80" s="704">
        <f t="shared" si="786"/>
        <v>702.81797468718901</v>
      </c>
      <c r="JE80" s="704">
        <f t="shared" si="786"/>
        <v>816.16699092670001</v>
      </c>
      <c r="JF80" s="704">
        <f t="shared" si="786"/>
        <v>657.23717864392802</v>
      </c>
      <c r="JG80" s="704">
        <f t="shared" si="786"/>
        <v>990.85338060778804</v>
      </c>
      <c r="JH80" s="173">
        <f t="shared" si="786"/>
        <v>12641.954022286722</v>
      </c>
      <c r="JJ80" s="559" t="s">
        <v>600</v>
      </c>
      <c r="JK80" s="583">
        <f t="shared" ref="JK80:JV80" si="787">JK48+JK49</f>
        <v>1338.321672</v>
      </c>
      <c r="JL80" s="561">
        <f t="shared" si="787"/>
        <v>698.53425899999991</v>
      </c>
      <c r="JM80" s="561">
        <f t="shared" si="787"/>
        <v>751.26750300000003</v>
      </c>
      <c r="JN80" s="562">
        <f t="shared" si="787"/>
        <v>42.382275</v>
      </c>
      <c r="JO80" s="583">
        <f t="shared" si="787"/>
        <v>1482.1265194057009</v>
      </c>
      <c r="JP80" s="561">
        <f t="shared" si="787"/>
        <v>994.51907686057552</v>
      </c>
      <c r="JQ80" s="561">
        <f t="shared" si="787"/>
        <v>598.0983556256964</v>
      </c>
      <c r="JR80" s="562">
        <f t="shared" si="787"/>
        <v>40.167924420974884</v>
      </c>
      <c r="JS80" s="583">
        <f t="shared" si="787"/>
        <v>1613.3736294845821</v>
      </c>
      <c r="JT80" s="561">
        <f t="shared" si="787"/>
        <v>1042.062851956638</v>
      </c>
      <c r="JU80" s="561">
        <f t="shared" si="787"/>
        <v>748.76792030018498</v>
      </c>
      <c r="JV80" s="562">
        <f t="shared" si="787"/>
        <v>32.901698837139136</v>
      </c>
      <c r="JX80" s="559" t="s">
        <v>600</v>
      </c>
      <c r="JY80" s="583">
        <f t="shared" ref="JY80:KB80" si="788">JY48+JY49</f>
        <v>583.55882992712998</v>
      </c>
      <c r="JZ80" s="561">
        <f t="shared" si="788"/>
        <v>851.33373739758406</v>
      </c>
      <c r="KA80" s="561">
        <f t="shared" si="788"/>
        <v>602.745609613037</v>
      </c>
      <c r="KB80" s="562">
        <f t="shared" si="788"/>
        <v>1399.467923640791</v>
      </c>
      <c r="KC80" s="604"/>
      <c r="KD80" s="559" t="s">
        <v>600</v>
      </c>
      <c r="KE80" s="583">
        <f t="shared" ref="KE80:KV80" si="789">KE48+KE49</f>
        <v>3.9170108097240401</v>
      </c>
      <c r="KF80" s="561">
        <f t="shared" si="789"/>
        <v>36.10904873600753</v>
      </c>
      <c r="KG80" s="561">
        <f t="shared" si="789"/>
        <v>206.7398863990625</v>
      </c>
      <c r="KH80" s="561">
        <f t="shared" si="789"/>
        <v>498.94295124177302</v>
      </c>
      <c r="KI80" s="561">
        <f t="shared" si="789"/>
        <v>554.39923994087508</v>
      </c>
      <c r="KJ80" s="562">
        <f t="shared" si="789"/>
        <v>481.27270972010814</v>
      </c>
      <c r="KK80" s="583">
        <f t="shared" si="789"/>
        <v>117.0329833859644</v>
      </c>
      <c r="KL80" s="561">
        <f t="shared" si="789"/>
        <v>183.62105398351571</v>
      </c>
      <c r="KM80" s="561">
        <f t="shared" si="789"/>
        <v>272.20536227524099</v>
      </c>
      <c r="KN80" s="561">
        <f t="shared" si="789"/>
        <v>548.69235645389801</v>
      </c>
      <c r="KO80" s="561">
        <f t="shared" si="789"/>
        <v>274.43609625691704</v>
      </c>
      <c r="KP80" s="562">
        <f t="shared" si="789"/>
        <v>194.48955698164411</v>
      </c>
      <c r="KQ80" s="583">
        <f t="shared" si="789"/>
        <v>120.94999419568839</v>
      </c>
      <c r="KR80" s="561">
        <f t="shared" si="789"/>
        <v>219.73010271952342</v>
      </c>
      <c r="KS80" s="561">
        <f t="shared" si="789"/>
        <v>482.56061530615102</v>
      </c>
      <c r="KT80" s="561">
        <f t="shared" si="789"/>
        <v>1047.63530769567</v>
      </c>
      <c r="KU80" s="561">
        <f t="shared" si="789"/>
        <v>832.31568734868802</v>
      </c>
      <c r="KV80" s="562">
        <f t="shared" si="789"/>
        <v>675.76226670175197</v>
      </c>
      <c r="KW80" s="429"/>
      <c r="KX80" s="559" t="s">
        <v>600</v>
      </c>
      <c r="KY80" s="583">
        <f t="shared" ref="KY80:LA80" si="790">KY48+KY49</f>
        <v>398.77830200000017</v>
      </c>
      <c r="KZ80" s="561">
        <f t="shared" si="790"/>
        <v>1471.1368819999998</v>
      </c>
      <c r="LA80" s="562">
        <f t="shared" si="790"/>
        <v>961.59052399999996</v>
      </c>
      <c r="LB80" s="583">
        <f t="shared" ref="LB80:LD80" si="791">LB48+LB49</f>
        <v>370.39587067748948</v>
      </c>
      <c r="LC80" s="561">
        <f t="shared" si="791"/>
        <v>1717.6531676940485</v>
      </c>
      <c r="LD80" s="562">
        <f t="shared" si="791"/>
        <v>1028.8628363783841</v>
      </c>
      <c r="LE80" s="583">
        <f t="shared" ref="LE80:LG80" si="792">LE48+LE49</f>
        <v>478.18813172855425</v>
      </c>
      <c r="LF80" s="561">
        <f t="shared" si="792"/>
        <v>1853.5076866780439</v>
      </c>
      <c r="LG80" s="562">
        <f t="shared" si="792"/>
        <v>1106.410283187332</v>
      </c>
      <c r="LH80" s="426"/>
      <c r="LI80" s="559" t="s">
        <v>600</v>
      </c>
      <c r="LJ80" s="583">
        <f t="shared" ref="LJ80:MA80" si="793">LJ48+LJ49</f>
        <v>3641.6296430000002</v>
      </c>
      <c r="LK80" s="561">
        <f t="shared" si="793"/>
        <v>3266.2233859999997</v>
      </c>
      <c r="LL80" s="561">
        <f t="shared" si="793"/>
        <v>375.40625699999998</v>
      </c>
      <c r="LM80" s="561">
        <f t="shared" si="793"/>
        <v>584.88063899999997</v>
      </c>
      <c r="LN80" s="561">
        <f t="shared" si="793"/>
        <v>272.35043300000001</v>
      </c>
      <c r="LO80" s="562">
        <f t="shared" si="793"/>
        <v>287.764387</v>
      </c>
      <c r="LP80" s="583">
        <f t="shared" si="793"/>
        <v>3711.6286980526243</v>
      </c>
      <c r="LQ80" s="561">
        <f t="shared" si="793"/>
        <v>3259.2695529868688</v>
      </c>
      <c r="LR80" s="561">
        <f t="shared" si="793"/>
        <v>452.3591450657546</v>
      </c>
      <c r="LS80" s="561">
        <f t="shared" si="793"/>
        <v>569.3603547474039</v>
      </c>
      <c r="LT80" s="561">
        <f t="shared" si="793"/>
        <v>286.68978814464663</v>
      </c>
      <c r="LU80" s="562">
        <f t="shared" si="793"/>
        <v>214.90889505573278</v>
      </c>
      <c r="LV80" s="583">
        <f t="shared" si="793"/>
        <v>3750.5344612736699</v>
      </c>
      <c r="LW80" s="561">
        <f t="shared" si="793"/>
        <v>3296.84710458787</v>
      </c>
      <c r="LX80" s="561">
        <f t="shared" si="793"/>
        <v>453.687356685797</v>
      </c>
      <c r="LY80" s="561">
        <f t="shared" si="793"/>
        <v>561.28453343874708</v>
      </c>
      <c r="LZ80" s="561">
        <f t="shared" si="793"/>
        <v>247.31406802779912</v>
      </c>
      <c r="MA80" s="562">
        <f t="shared" si="793"/>
        <v>242.86941635264998</v>
      </c>
      <c r="MC80" s="559" t="s">
        <v>600</v>
      </c>
      <c r="MD80" s="583">
        <f t="shared" ref="MD80:MU80" si="794">MD48+MD49</f>
        <v>1.970958</v>
      </c>
      <c r="ME80" s="561">
        <f t="shared" si="794"/>
        <v>140.14729799999998</v>
      </c>
      <c r="MF80" s="561">
        <f t="shared" si="794"/>
        <v>486.75465099999997</v>
      </c>
      <c r="MG80" s="561">
        <f t="shared" si="794"/>
        <v>892.99868100000003</v>
      </c>
      <c r="MH80" s="561">
        <f t="shared" si="794"/>
        <v>1002.202753</v>
      </c>
      <c r="MI80" s="562">
        <f t="shared" si="794"/>
        <v>746.14904100000001</v>
      </c>
      <c r="MJ80" s="583">
        <f t="shared" si="794"/>
        <v>2.1572789556677598</v>
      </c>
      <c r="MK80" s="561">
        <f t="shared" si="794"/>
        <v>91.199177876051607</v>
      </c>
      <c r="ML80" s="561">
        <f t="shared" si="794"/>
        <v>634.75099741640349</v>
      </c>
      <c r="MM80" s="561">
        <f t="shared" si="794"/>
        <v>984.78003600279362</v>
      </c>
      <c r="MN80" s="561">
        <f t="shared" si="794"/>
        <v>965.3553933229723</v>
      </c>
      <c r="MO80" s="562">
        <f t="shared" si="794"/>
        <v>588.02666394239122</v>
      </c>
      <c r="MP80" s="583">
        <f t="shared" si="794"/>
        <v>1.0413425601953701</v>
      </c>
      <c r="MQ80" s="561">
        <f t="shared" si="794"/>
        <v>125.17370474058259</v>
      </c>
      <c r="MR80" s="561">
        <f t="shared" si="794"/>
        <v>664.24674082340903</v>
      </c>
      <c r="MS80" s="561">
        <f t="shared" si="794"/>
        <v>1037.6498614265561</v>
      </c>
      <c r="MT80" s="561">
        <f t="shared" si="794"/>
        <v>977.19299059101309</v>
      </c>
      <c r="MU80" s="562">
        <f t="shared" si="794"/>
        <v>485.54245835380505</v>
      </c>
      <c r="MW80" s="559" t="s">
        <v>600</v>
      </c>
      <c r="MX80" s="583">
        <f t="shared" ref="MX80:NF80" si="795">MX48+MX49</f>
        <v>3282.151308</v>
      </c>
      <c r="MY80" s="561">
        <f t="shared" si="795"/>
        <v>3029.0055039999997</v>
      </c>
      <c r="MZ80" s="561">
        <f t="shared" si="795"/>
        <v>253.145803</v>
      </c>
      <c r="NA80" s="583">
        <f t="shared" si="795"/>
        <v>3283.8930895283283</v>
      </c>
      <c r="NB80" s="561">
        <f t="shared" si="795"/>
        <v>3024.8224444803536</v>
      </c>
      <c r="NC80" s="562">
        <f t="shared" si="795"/>
        <v>259.07064504797506</v>
      </c>
      <c r="ND80" s="583">
        <f t="shared" si="795"/>
        <v>3334.2518011544798</v>
      </c>
      <c r="NE80" s="561">
        <f t="shared" si="795"/>
        <v>2993.4485261858699</v>
      </c>
      <c r="NF80" s="562">
        <f t="shared" si="795"/>
        <v>340.80327496862299</v>
      </c>
      <c r="NH80" s="559" t="s">
        <v>600</v>
      </c>
      <c r="NI80" s="583">
        <f t="shared" ref="NI80:NR80" si="796">NI48+NI49</f>
        <v>2489.4400303015218</v>
      </c>
      <c r="NJ80" s="562">
        <f t="shared" si="796"/>
        <v>535.38241417883148</v>
      </c>
      <c r="NK80" s="583">
        <f t="shared" si="796"/>
        <v>149.52260016845676</v>
      </c>
      <c r="NL80" s="561">
        <f t="shared" si="796"/>
        <v>107.39076592385054</v>
      </c>
      <c r="NM80" s="562">
        <f t="shared" si="796"/>
        <v>2.1572789556677598</v>
      </c>
      <c r="NN80" s="583">
        <f t="shared" si="796"/>
        <v>2438.2553258566568</v>
      </c>
      <c r="NO80" s="562">
        <f t="shared" si="796"/>
        <v>555.19320032920496</v>
      </c>
      <c r="NP80" s="583">
        <f t="shared" si="796"/>
        <v>215.630208461785</v>
      </c>
      <c r="NQ80" s="561">
        <f t="shared" si="796"/>
        <v>119.24712571600361</v>
      </c>
      <c r="NR80" s="562">
        <f t="shared" si="796"/>
        <v>5.9259407908346198</v>
      </c>
      <c r="NS80" s="136"/>
      <c r="NT80" s="559" t="s">
        <v>600</v>
      </c>
      <c r="NU80" s="583">
        <f t="shared" ref="NU80:OB80" si="797">NU48+NU49</f>
        <v>335.16407346246422</v>
      </c>
      <c r="NV80" s="561">
        <f t="shared" si="797"/>
        <v>59.10043835517704</v>
      </c>
      <c r="NW80" s="561">
        <f t="shared" si="797"/>
        <v>29.035211045189349</v>
      </c>
      <c r="NX80" s="562">
        <f t="shared" si="797"/>
        <v>112.08269131600093</v>
      </c>
      <c r="NY80" s="583">
        <f t="shared" si="797"/>
        <v>355.91273131137598</v>
      </c>
      <c r="NZ80" s="561">
        <f t="shared" si="797"/>
        <v>75.026497573216105</v>
      </c>
      <c r="OA80" s="561">
        <f t="shared" si="797"/>
        <v>21.4736870921475</v>
      </c>
      <c r="OB80" s="562">
        <f t="shared" si="797"/>
        <v>102.7802843524653</v>
      </c>
      <c r="OC80" s="553"/>
      <c r="OD80" s="559" t="s">
        <v>600</v>
      </c>
      <c r="OE80" s="583">
        <f t="shared" ref="OE80:OR80" si="798">OE48+OE49</f>
        <v>193.0992094929579</v>
      </c>
      <c r="OF80" s="561">
        <f t="shared" si="798"/>
        <v>349.28872031042897</v>
      </c>
      <c r="OG80" s="561">
        <f t="shared" si="798"/>
        <v>234.44246815054422</v>
      </c>
      <c r="OH80" s="561">
        <f t="shared" si="798"/>
        <v>225.55302311773499</v>
      </c>
      <c r="OI80" s="561">
        <f t="shared" si="798"/>
        <v>481.81541645396703</v>
      </c>
      <c r="OJ80" s="561">
        <f t="shared" si="798"/>
        <v>50.271957611285401</v>
      </c>
      <c r="OK80" s="562">
        <f t="shared" si="798"/>
        <v>51.376557401539301</v>
      </c>
      <c r="OL80" s="583">
        <f t="shared" si="798"/>
        <v>287.24456047903402</v>
      </c>
      <c r="OM80" s="561">
        <f t="shared" si="798"/>
        <v>380.03083470671402</v>
      </c>
      <c r="ON80" s="561">
        <f t="shared" si="798"/>
        <v>238.38648976560822</v>
      </c>
      <c r="OO80" s="561">
        <f t="shared" si="798"/>
        <v>242.76863206191803</v>
      </c>
      <c r="OP80" s="561">
        <f t="shared" si="798"/>
        <v>902.65997861553399</v>
      </c>
      <c r="OQ80" s="561">
        <f t="shared" si="798"/>
        <v>504.14268817739696</v>
      </c>
      <c r="OR80" s="562">
        <f t="shared" si="798"/>
        <v>4543.7888183081104</v>
      </c>
      <c r="OT80" s="559" t="s">
        <v>600</v>
      </c>
      <c r="OU80" s="583">
        <f t="shared" ref="OU80:PF80" si="799">OU48+OU49</f>
        <v>1480.0846320000001</v>
      </c>
      <c r="OV80" s="561">
        <f t="shared" si="799"/>
        <v>1184.4441470000002</v>
      </c>
      <c r="OW80" s="561">
        <f t="shared" si="799"/>
        <v>912.33633399999997</v>
      </c>
      <c r="OX80" s="562">
        <f t="shared" si="799"/>
        <v>1340.5968700000001</v>
      </c>
      <c r="OY80" s="583">
        <f t="shared" si="799"/>
        <v>1371.1425897999857</v>
      </c>
      <c r="OZ80" s="561">
        <f t="shared" si="799"/>
        <v>1109.1607606514026</v>
      </c>
      <c r="PA80" s="561">
        <f t="shared" si="799"/>
        <v>905.8951367564855</v>
      </c>
      <c r="PB80" s="562">
        <f t="shared" si="799"/>
        <v>1693.9711826481694</v>
      </c>
      <c r="PC80" s="583">
        <f t="shared" si="799"/>
        <v>1076.791471125955</v>
      </c>
      <c r="PD80" s="561">
        <f t="shared" si="799"/>
        <v>1186.5995917719611</v>
      </c>
      <c r="PE80" s="561">
        <f t="shared" si="799"/>
        <v>1033.254374093711</v>
      </c>
      <c r="PF80" s="562">
        <f t="shared" si="799"/>
        <v>2087.6977255868069</v>
      </c>
      <c r="PH80" s="559" t="s">
        <v>600</v>
      </c>
      <c r="PI80" s="583">
        <f t="shared" ref="PI80:PP80" si="800">PI48+PI49</f>
        <v>445.66682485294348</v>
      </c>
      <c r="PJ80" s="561">
        <f t="shared" si="800"/>
        <v>621.930296799757</v>
      </c>
      <c r="PK80" s="561">
        <f t="shared" si="800"/>
        <v>551.15293927939399</v>
      </c>
      <c r="PL80" s="562">
        <f t="shared" si="800"/>
        <v>987.38538170750417</v>
      </c>
      <c r="PM80" s="583">
        <f t="shared" si="800"/>
        <v>631.1246462730121</v>
      </c>
      <c r="PN80" s="561">
        <f t="shared" si="800"/>
        <v>564.66929497220394</v>
      </c>
      <c r="PO80" s="561">
        <f t="shared" si="800"/>
        <v>482.10143481431697</v>
      </c>
      <c r="PP80" s="562">
        <f t="shared" si="800"/>
        <v>1100.312343879302</v>
      </c>
      <c r="PQ80" s="65"/>
      <c r="PR80" s="563" t="s">
        <v>600</v>
      </c>
      <c r="PS80" s="1038">
        <f t="shared" ref="PS80:PW80" si="801">PS48+PS49</f>
        <v>128.88996683055541</v>
      </c>
      <c r="PT80" s="1039">
        <f t="shared" si="801"/>
        <v>132.8804546325598</v>
      </c>
      <c r="PU80" s="1039">
        <f t="shared" si="801"/>
        <v>105.75689199758119</v>
      </c>
      <c r="PV80" s="1039">
        <f t="shared" si="801"/>
        <v>52.771248567496997</v>
      </c>
      <c r="PW80" s="1039">
        <f t="shared" si="801"/>
        <v>2360.5510524375768</v>
      </c>
      <c r="PX80" s="1040">
        <f t="shared" ref="PX80" si="802">PX48+PX49</f>
        <v>550.40218364256498</v>
      </c>
      <c r="PZ80" s="563" t="s">
        <v>600</v>
      </c>
      <c r="QA80" s="1038">
        <f t="shared" ref="QA80:QF80" si="803">QA48+QA49</f>
        <v>2018.5914803748601</v>
      </c>
      <c r="QB80" s="1039">
        <f t="shared" si="803"/>
        <v>1315.660320779627</v>
      </c>
      <c r="QC80" s="1039">
        <f t="shared" si="803"/>
        <v>1084.0335682893899</v>
      </c>
      <c r="QD80" s="1039">
        <f t="shared" ref="QD80" si="804">QD48+QD49</f>
        <v>74.304430819893696</v>
      </c>
      <c r="QE80" s="1039">
        <f t="shared" si="803"/>
        <v>157.32232167034519</v>
      </c>
      <c r="QF80" s="1040">
        <f t="shared" si="803"/>
        <v>0</v>
      </c>
    </row>
    <row r="81" spans="1:448" ht="13.5" customHeight="1">
      <c r="A81" s="136"/>
      <c r="B81" s="559" t="s">
        <v>572</v>
      </c>
      <c r="C81" s="561">
        <f t="shared" ref="C81" si="805">C50</f>
        <v>2925.7418859999998</v>
      </c>
      <c r="D81" s="561">
        <f t="shared" ref="D81:E81" si="806">D50</f>
        <v>3195.6356909183669</v>
      </c>
      <c r="E81" s="562">
        <f t="shared" si="806"/>
        <v>3398.7246474081298</v>
      </c>
      <c r="F81" s="136"/>
      <c r="G81" s="559" t="s">
        <v>572</v>
      </c>
      <c r="H81" s="318">
        <f t="shared" si="447"/>
        <v>1.7804228297367608E-2</v>
      </c>
      <c r="I81" s="668">
        <f t="shared" si="448"/>
        <v>1.2399084137420635E-2</v>
      </c>
      <c r="J81" s="612"/>
      <c r="K81" s="63"/>
      <c r="L81" s="559" t="s">
        <v>572</v>
      </c>
      <c r="M81" s="583">
        <f t="shared" ref="M81:T81" si="807">M50</f>
        <v>24</v>
      </c>
      <c r="N81" s="561">
        <f t="shared" si="807"/>
        <v>24</v>
      </c>
      <c r="O81" s="561">
        <f t="shared" si="807"/>
        <v>24</v>
      </c>
      <c r="P81" s="561">
        <f t="shared" si="807"/>
        <v>23</v>
      </c>
      <c r="Q81" s="561">
        <f t="shared" si="807"/>
        <v>22</v>
      </c>
      <c r="R81" s="561">
        <f t="shared" si="807"/>
        <v>24</v>
      </c>
      <c r="S81" s="561">
        <f t="shared" si="807"/>
        <v>26</v>
      </c>
      <c r="T81" s="561">
        <f t="shared" si="807"/>
        <v>19</v>
      </c>
      <c r="U81" s="561">
        <f t="shared" ref="U81:V81" si="808">U50</f>
        <v>25</v>
      </c>
      <c r="V81" s="561">
        <f t="shared" si="808"/>
        <v>23</v>
      </c>
      <c r="W81" s="562">
        <f t="shared" ref="W81" si="809">W50</f>
        <v>36</v>
      </c>
      <c r="X81" s="559" t="s">
        <v>572</v>
      </c>
      <c r="Y81" s="583">
        <f t="shared" ref="Y81:AB81" si="810">Y50</f>
        <v>24</v>
      </c>
      <c r="Z81" s="561">
        <f t="shared" si="810"/>
        <v>23.5</v>
      </c>
      <c r="AA81" s="561">
        <f t="shared" si="810"/>
        <v>23</v>
      </c>
      <c r="AB81" s="561">
        <f t="shared" si="810"/>
        <v>22.5</v>
      </c>
      <c r="AC81" s="1206">
        <f t="shared" ref="AC81" si="811">AC50</f>
        <v>22.5</v>
      </c>
      <c r="AD81" s="336">
        <f t="shared" si="98"/>
        <v>-2.0833333333333332E-2</v>
      </c>
      <c r="AE81" s="336">
        <f t="shared" si="99"/>
        <v>-2.1276595744680851E-2</v>
      </c>
      <c r="AF81" s="336">
        <f t="shared" si="100"/>
        <v>-2.1739130434782608E-2</v>
      </c>
      <c r="AG81" s="1217">
        <f t="shared" si="101"/>
        <v>0</v>
      </c>
      <c r="AN81" s="559" t="s">
        <v>572</v>
      </c>
      <c r="AO81" s="583">
        <f t="shared" ref="AO81:AV81" si="812">AO50</f>
        <v>0</v>
      </c>
      <c r="AP81" s="561">
        <f t="shared" si="812"/>
        <v>58.148774000000003</v>
      </c>
      <c r="AQ81" s="561">
        <f t="shared" si="812"/>
        <v>335.814684</v>
      </c>
      <c r="AR81" s="561">
        <f t="shared" si="812"/>
        <v>445.79464200000001</v>
      </c>
      <c r="AS81" s="561">
        <f t="shared" si="812"/>
        <v>243.052774</v>
      </c>
      <c r="AT81" s="561">
        <f t="shared" si="812"/>
        <v>246.50117599999999</v>
      </c>
      <c r="AU81" s="561">
        <f t="shared" si="812"/>
        <v>666.77941199999998</v>
      </c>
      <c r="AV81" s="562">
        <f t="shared" si="812"/>
        <v>676.12187800000004</v>
      </c>
      <c r="AW81" s="583">
        <f t="shared" ref="AW81:BD81" si="813">AW50</f>
        <v>0</v>
      </c>
      <c r="AX81" s="561">
        <f t="shared" si="813"/>
        <v>81.225287436954545</v>
      </c>
      <c r="AY81" s="561">
        <f t="shared" si="813"/>
        <v>361.73333989620602</v>
      </c>
      <c r="AZ81" s="561">
        <f t="shared" si="813"/>
        <v>442.19778570743136</v>
      </c>
      <c r="BA81" s="561">
        <f t="shared" si="813"/>
        <v>304.58201793917254</v>
      </c>
      <c r="BB81" s="561">
        <f t="shared" si="813"/>
        <v>177.029162870774</v>
      </c>
      <c r="BC81" s="561">
        <f t="shared" si="813"/>
        <v>678.4589926757626</v>
      </c>
      <c r="BD81" s="562">
        <f t="shared" si="813"/>
        <v>822.23755828672392</v>
      </c>
      <c r="BE81" s="583">
        <f t="shared" ref="BE81:BL81" si="814">BE50</f>
        <v>0</v>
      </c>
      <c r="BF81" s="561">
        <f t="shared" si="814"/>
        <v>86.825299214581705</v>
      </c>
      <c r="BG81" s="561">
        <f t="shared" si="814"/>
        <v>408.96364162071899</v>
      </c>
      <c r="BH81" s="561">
        <f t="shared" si="814"/>
        <v>481.81805202042801</v>
      </c>
      <c r="BI81" s="561">
        <f t="shared" si="814"/>
        <v>354.20365982163003</v>
      </c>
      <c r="BJ81" s="561">
        <f t="shared" si="814"/>
        <v>188.08650680021299</v>
      </c>
      <c r="BK81" s="561">
        <f t="shared" si="814"/>
        <v>817.40871896834506</v>
      </c>
      <c r="BL81" s="562">
        <f t="shared" si="814"/>
        <v>677.407581479594</v>
      </c>
      <c r="BN81" s="559" t="s">
        <v>572</v>
      </c>
      <c r="BO81" s="583">
        <f t="shared" ref="BO81:BT81" si="815">BO50</f>
        <v>268.52852899999999</v>
      </c>
      <c r="BP81" s="561">
        <f t="shared" si="815"/>
        <v>1063.1774789999999</v>
      </c>
      <c r="BQ81" s="561">
        <f t="shared" si="815"/>
        <v>517.55720899999994</v>
      </c>
      <c r="BR81" s="561">
        <f t="shared" si="815"/>
        <v>348.37538799999999</v>
      </c>
      <c r="BS81" s="561">
        <f t="shared" si="815"/>
        <v>268.179956</v>
      </c>
      <c r="BT81" s="562">
        <f t="shared" si="815"/>
        <v>459.92332599999997</v>
      </c>
      <c r="BU81" s="583">
        <f t="shared" ref="BU81:BZ81" si="816">BU50</f>
        <v>324.17154923139213</v>
      </c>
      <c r="BV81" s="561">
        <f t="shared" si="816"/>
        <v>1125.7438737862308</v>
      </c>
      <c r="BW81" s="561">
        <f t="shared" si="816"/>
        <v>441.66528149558002</v>
      </c>
      <c r="BX81" s="561">
        <f t="shared" si="816"/>
        <v>464.56447982892132</v>
      </c>
      <c r="BY81" s="561">
        <f t="shared" si="816"/>
        <v>402.24854524045458</v>
      </c>
      <c r="BZ81" s="562">
        <f t="shared" si="816"/>
        <v>437.24196133578789</v>
      </c>
      <c r="CA81" s="583">
        <f t="shared" ref="CA81:CF81" si="817">CA50</f>
        <v>384.01118748261598</v>
      </c>
      <c r="CB81" s="561">
        <f t="shared" si="817"/>
        <v>1132.85897000302</v>
      </c>
      <c r="CC81" s="561">
        <f t="shared" si="817"/>
        <v>556.07253965574296</v>
      </c>
      <c r="CD81" s="561">
        <f t="shared" si="817"/>
        <v>408.73972265957502</v>
      </c>
      <c r="CE81" s="561">
        <f t="shared" si="817"/>
        <v>431.49227050097198</v>
      </c>
      <c r="CF81" s="562">
        <f t="shared" si="817"/>
        <v>485.5499571062</v>
      </c>
      <c r="CG81" s="429"/>
      <c r="CH81" s="559" t="s">
        <v>572</v>
      </c>
      <c r="CI81" s="583">
        <f t="shared" ref="CI81:CK81" si="818">CI50</f>
        <v>582.33699100000001</v>
      </c>
      <c r="CJ81" s="561">
        <f t="shared" si="818"/>
        <v>1723.5385779999999</v>
      </c>
      <c r="CK81" s="561">
        <f t="shared" si="818"/>
        <v>619.86631799999998</v>
      </c>
      <c r="CL81" s="583">
        <f t="shared" ref="CL81:CN81" si="819">CL50</f>
        <v>688.79507390553852</v>
      </c>
      <c r="CM81" s="561">
        <f t="shared" si="819"/>
        <v>1836.7189042379737</v>
      </c>
      <c r="CN81" s="561">
        <f t="shared" si="819"/>
        <v>670.1217127748547</v>
      </c>
      <c r="CO81" s="583">
        <f t="shared" ref="CO81:CQ81" si="820">CO50</f>
        <v>741.78835862231404</v>
      </c>
      <c r="CP81" s="561">
        <f t="shared" si="820"/>
        <v>1902.2392329280999</v>
      </c>
      <c r="CQ81" s="562">
        <f t="shared" si="820"/>
        <v>754.69705585771305</v>
      </c>
      <c r="CR81" s="429"/>
      <c r="DG81" s="559" t="s">
        <v>572</v>
      </c>
      <c r="DH81" s="829"/>
      <c r="DI81" s="830"/>
      <c r="DJ81" s="830"/>
      <c r="DK81" s="830"/>
      <c r="DL81" s="830"/>
      <c r="DM81" s="831"/>
      <c r="DO81" s="559" t="s">
        <v>572</v>
      </c>
      <c r="DP81" s="704">
        <f t="shared" ref="DP81:DR81" si="821">DP50</f>
        <v>1488.1216899999999</v>
      </c>
      <c r="DQ81" s="561">
        <f t="shared" si="821"/>
        <v>1583.9806283992559</v>
      </c>
      <c r="DR81" s="562">
        <f t="shared" si="821"/>
        <v>1711.12983064334</v>
      </c>
      <c r="DS81" s="63"/>
      <c r="DT81" s="559" t="s">
        <v>572</v>
      </c>
      <c r="DU81" s="583">
        <f t="shared" ref="DU81:DW81" si="822">DU50</f>
        <v>2416.7425069999999</v>
      </c>
      <c r="DV81" s="561">
        <f t="shared" si="822"/>
        <v>2767.6360254058159</v>
      </c>
      <c r="DW81" s="562">
        <f t="shared" si="822"/>
        <v>2902.72414377716</v>
      </c>
      <c r="DX81" s="63"/>
      <c r="DY81" s="559" t="s">
        <v>572</v>
      </c>
      <c r="DZ81" s="1092">
        <f t="shared" si="410"/>
        <v>1.6240220966068979</v>
      </c>
      <c r="EA81" s="790">
        <f t="shared" si="411"/>
        <v>1.747266333807846</v>
      </c>
      <c r="EB81" s="779">
        <f t="shared" si="412"/>
        <v>1.696378668523248</v>
      </c>
      <c r="ED81" s="541"/>
      <c r="EE81" s="559" t="s">
        <v>572</v>
      </c>
      <c r="EF81" s="583">
        <f t="shared" ref="EF81:EJ81" si="823">EF50</f>
        <v>889.99605499999996</v>
      </c>
      <c r="EG81" s="561">
        <f t="shared" si="823"/>
        <v>39.807685999999997</v>
      </c>
      <c r="EH81" s="561">
        <f t="shared" si="823"/>
        <v>341.94932</v>
      </c>
      <c r="EI81" s="561">
        <f t="shared" si="823"/>
        <v>161.70585500000001</v>
      </c>
      <c r="EJ81" s="561">
        <f t="shared" si="823"/>
        <v>54.662775000000003</v>
      </c>
      <c r="EK81" s="583">
        <f t="shared" ref="EK81:EO81" si="824">EK50</f>
        <v>851.322996466718</v>
      </c>
      <c r="EL81" s="561">
        <f t="shared" si="824"/>
        <v>63.181023012262877</v>
      </c>
      <c r="EM81" s="561">
        <f t="shared" si="824"/>
        <v>373.7942010693381</v>
      </c>
      <c r="EN81" s="561">
        <f t="shared" si="824"/>
        <v>193.94338394418588</v>
      </c>
      <c r="EO81" s="561">
        <f t="shared" si="824"/>
        <v>101.73902390675136</v>
      </c>
      <c r="EP81" s="583">
        <f t="shared" ref="EP81:ET81" si="825">EP50</f>
        <v>1020.30792425999</v>
      </c>
      <c r="EQ81" s="561">
        <f t="shared" si="825"/>
        <v>48.631870201422103</v>
      </c>
      <c r="ER81" s="561">
        <f t="shared" si="825"/>
        <v>322.79514676588502</v>
      </c>
      <c r="ES81" s="561">
        <f t="shared" si="825"/>
        <v>217.98948847659301</v>
      </c>
      <c r="ET81" s="562">
        <f t="shared" si="825"/>
        <v>101.405400939453</v>
      </c>
      <c r="EV81" s="559" t="s">
        <v>572</v>
      </c>
      <c r="EW81" s="583">
        <f t="shared" ref="EW81:FD81" si="826">EW50</f>
        <v>216.44953799999999</v>
      </c>
      <c r="EX81" s="561">
        <f t="shared" si="826"/>
        <v>348.52427399999999</v>
      </c>
      <c r="EY81" s="561">
        <f t="shared" si="826"/>
        <v>178.69774799999999</v>
      </c>
      <c r="EZ81" s="561">
        <f t="shared" si="826"/>
        <v>146.32449399999999</v>
      </c>
      <c r="FA81" s="583">
        <f t="shared" si="826"/>
        <v>473.27771000000001</v>
      </c>
      <c r="FB81" s="561">
        <f t="shared" si="826"/>
        <v>943.98753399999998</v>
      </c>
      <c r="FC81" s="561">
        <f t="shared" si="826"/>
        <v>495.87430000000001</v>
      </c>
      <c r="FD81" s="561">
        <f t="shared" si="826"/>
        <v>241.07442800000001</v>
      </c>
      <c r="FE81" s="583">
        <f t="shared" ref="FE81:FL81" si="827">FE50</f>
        <v>209.73024557620278</v>
      </c>
      <c r="FF81" s="561">
        <f t="shared" si="827"/>
        <v>323.21245712714256</v>
      </c>
      <c r="FG81" s="561">
        <f t="shared" si="827"/>
        <v>186.92902815579478</v>
      </c>
      <c r="FH81" s="562">
        <f t="shared" si="827"/>
        <v>132.45126482606511</v>
      </c>
      <c r="FI81" s="583">
        <f t="shared" si="827"/>
        <v>512.73229335988481</v>
      </c>
      <c r="FJ81" s="561">
        <f t="shared" si="827"/>
        <v>1037.2595508173172</v>
      </c>
      <c r="FK81" s="561">
        <f t="shared" si="827"/>
        <v>644.47875873533349</v>
      </c>
      <c r="FL81" s="562">
        <f t="shared" si="827"/>
        <v>257.99386622827365</v>
      </c>
      <c r="FM81" s="703">
        <f t="shared" ref="FM81:FT81" si="828">FM50</f>
        <v>191.482563209055</v>
      </c>
      <c r="FN81" s="704">
        <f t="shared" si="828"/>
        <v>437.16804767025502</v>
      </c>
      <c r="FO81" s="704">
        <f t="shared" si="828"/>
        <v>240.599736215593</v>
      </c>
      <c r="FP81" s="173">
        <f t="shared" si="828"/>
        <v>151.05757716508299</v>
      </c>
      <c r="FQ81" s="703">
        <f t="shared" si="828"/>
        <v>491.499906477948</v>
      </c>
      <c r="FR81" s="704">
        <f t="shared" si="828"/>
        <v>1174.61140550098</v>
      </c>
      <c r="FS81" s="704">
        <f t="shared" si="828"/>
        <v>589.00429277256501</v>
      </c>
      <c r="FT81" s="173">
        <f t="shared" si="828"/>
        <v>269.59735763536298</v>
      </c>
      <c r="FV81" s="559" t="s">
        <v>572</v>
      </c>
      <c r="FW81" s="583">
        <f t="shared" ref="FW81:GH81" si="829">FW50</f>
        <v>349.558177</v>
      </c>
      <c r="FX81" s="561">
        <f t="shared" si="829"/>
        <v>99.290462000000005</v>
      </c>
      <c r="FY81" s="561">
        <f t="shared" si="829"/>
        <v>76.754073000000005</v>
      </c>
      <c r="FZ81" s="562">
        <f t="shared" si="829"/>
        <v>32.715235999999997</v>
      </c>
      <c r="GA81" s="583">
        <f t="shared" si="829"/>
        <v>395.08883613315368</v>
      </c>
      <c r="GB81" s="561">
        <f t="shared" si="829"/>
        <v>131.58062192950544</v>
      </c>
      <c r="GC81" s="561">
        <f t="shared" si="829"/>
        <v>90.45082616182944</v>
      </c>
      <c r="GD81" s="562">
        <f t="shared" si="829"/>
        <v>52.356324695786682</v>
      </c>
      <c r="GE81" s="583">
        <f t="shared" si="829"/>
        <v>349.33451067803998</v>
      </c>
      <c r="GF81" s="561">
        <f t="shared" si="829"/>
        <v>138.092795256568</v>
      </c>
      <c r="GG81" s="561">
        <f t="shared" si="829"/>
        <v>127.227666237233</v>
      </c>
      <c r="GH81" s="562">
        <f t="shared" si="829"/>
        <v>30.877291908226901</v>
      </c>
      <c r="GJ81" s="559" t="s">
        <v>572</v>
      </c>
      <c r="GK81" s="561">
        <f t="shared" ref="GK81:GM81" si="830">GK50</f>
        <v>1633.4981829999999</v>
      </c>
      <c r="GL81" s="561">
        <f t="shared" si="830"/>
        <v>1824.4987605349804</v>
      </c>
      <c r="GM81" s="562">
        <f t="shared" si="830"/>
        <v>2062.5017394846</v>
      </c>
      <c r="GO81" s="559" t="s">
        <v>572</v>
      </c>
      <c r="GP81" s="583">
        <f t="shared" ref="GP81:GX81" si="831">GP50</f>
        <v>1489.1216890000001</v>
      </c>
      <c r="GQ81" s="561">
        <f t="shared" si="831"/>
        <v>32.965843</v>
      </c>
      <c r="GR81" s="562">
        <f t="shared" si="831"/>
        <v>111.410651</v>
      </c>
      <c r="GS81" s="583">
        <f t="shared" si="831"/>
        <v>1585.9806268362308</v>
      </c>
      <c r="GT81" s="561">
        <f t="shared" si="831"/>
        <v>28.933827387953471</v>
      </c>
      <c r="GU81" s="562">
        <f t="shared" si="831"/>
        <v>209.58430631079628</v>
      </c>
      <c r="GV81" s="583">
        <f t="shared" si="831"/>
        <v>1713.12983267411</v>
      </c>
      <c r="GW81" s="561">
        <f t="shared" si="831"/>
        <v>64.430124271609102</v>
      </c>
      <c r="GX81" s="562">
        <f t="shared" si="831"/>
        <v>284.94178253888202</v>
      </c>
      <c r="GZ81" s="559" t="s">
        <v>572</v>
      </c>
      <c r="HA81" s="583">
        <f t="shared" ref="HA81:HI81" si="832">HA50</f>
        <v>530.74347899999998</v>
      </c>
      <c r="HB81" s="561">
        <f t="shared" si="832"/>
        <v>1087.650543</v>
      </c>
      <c r="HC81" s="562">
        <f t="shared" si="832"/>
        <v>15.104160999999976</v>
      </c>
      <c r="HD81" s="583">
        <f t="shared" si="832"/>
        <v>605.72446539959878</v>
      </c>
      <c r="HE81" s="561">
        <f t="shared" si="832"/>
        <v>1185.3276677529868</v>
      </c>
      <c r="HF81" s="562">
        <f t="shared" si="832"/>
        <v>33.446627382394809</v>
      </c>
      <c r="HG81" s="583">
        <f t="shared" si="832"/>
        <v>627.87093828663899</v>
      </c>
      <c r="HH81" s="561">
        <f t="shared" si="832"/>
        <v>1416.1216111644501</v>
      </c>
      <c r="HI81" s="562">
        <f t="shared" si="832"/>
        <v>18.509190033511004</v>
      </c>
      <c r="HK81" s="559" t="s">
        <v>572</v>
      </c>
      <c r="HL81" s="561">
        <f t="shared" ref="HL81:HO81" si="833">HL50</f>
        <v>1489.1216890000001</v>
      </c>
      <c r="HM81" s="561">
        <f t="shared" ref="HM81" si="834">HM50</f>
        <v>4557.7981570000002</v>
      </c>
      <c r="HN81" s="779">
        <f t="shared" si="477"/>
        <v>3.0607291470321201</v>
      </c>
      <c r="HO81" s="583">
        <f t="shared" si="833"/>
        <v>1585.9806268362308</v>
      </c>
      <c r="HP81" s="561">
        <f t="shared" ref="HP81" si="835">HP50</f>
        <v>5210.5891280873084</v>
      </c>
      <c r="HQ81" s="779">
        <f t="shared" si="479"/>
        <v>3.2854052817035808</v>
      </c>
      <c r="HR81" s="561">
        <f>HR50</f>
        <v>1713.12983267411</v>
      </c>
      <c r="HS81" s="561">
        <f>HS50</f>
        <v>5354.15114657093</v>
      </c>
      <c r="HT81" s="784">
        <f t="shared" si="480"/>
        <v>3.12536215554274</v>
      </c>
      <c r="HV81" s="559" t="s">
        <v>572</v>
      </c>
      <c r="HW81" s="583">
        <f>HW50</f>
        <v>485.45384999999999</v>
      </c>
      <c r="HX81" s="561">
        <f>HX50</f>
        <v>2172.2321740000002</v>
      </c>
      <c r="HY81" s="790">
        <f t="shared" si="481"/>
        <v>4.4746419747211812</v>
      </c>
      <c r="HZ81" s="561">
        <f>HZ50</f>
        <v>988.56367799999998</v>
      </c>
      <c r="IA81" s="561">
        <f>IA50</f>
        <v>2364.5378660000001</v>
      </c>
      <c r="IB81" s="790">
        <f t="shared" si="482"/>
        <v>2.3918923167233745</v>
      </c>
      <c r="IC81" s="583">
        <f>IC50</f>
        <v>556.02923543095653</v>
      </c>
      <c r="ID81" s="561">
        <f>ID50</f>
        <v>2733.4812211106641</v>
      </c>
      <c r="IE81" s="790">
        <f t="shared" si="483"/>
        <v>4.9160746358814205</v>
      </c>
      <c r="IF81" s="561">
        <f>IF50</f>
        <v>1001.0719881526596</v>
      </c>
      <c r="IG81" s="561">
        <f>IG50</f>
        <v>2440.1525637387558</v>
      </c>
      <c r="IH81" s="790">
        <f t="shared" si="126"/>
        <v>2.4375395502192814</v>
      </c>
      <c r="II81" s="583">
        <f>II50</f>
        <v>562.23190493463699</v>
      </c>
      <c r="IJ81" s="561">
        <f>IJ50</f>
        <v>2639.5376715922998</v>
      </c>
      <c r="IK81" s="790">
        <f t="shared" si="484"/>
        <v>4.6947489966780926</v>
      </c>
      <c r="IL81" s="561">
        <f>IL50</f>
        <v>1132.38873770597</v>
      </c>
      <c r="IM81" s="561">
        <f>IM50</f>
        <v>2682.9215385872399</v>
      </c>
      <c r="IN81" s="779">
        <f t="shared" si="485"/>
        <v>2.3692584085765369</v>
      </c>
      <c r="IP81" s="559" t="s">
        <v>572</v>
      </c>
      <c r="IQ81" s="583">
        <f>IQ50</f>
        <v>240.02755999999999</v>
      </c>
      <c r="IR81" s="561">
        <f t="shared" ref="IR81:JH81" si="836">IR50</f>
        <v>465.18887699999999</v>
      </c>
      <c r="IS81" s="561">
        <f t="shared" si="836"/>
        <v>320.34366199999999</v>
      </c>
      <c r="IT81" s="561">
        <f t="shared" si="836"/>
        <v>170.95208099999999</v>
      </c>
      <c r="IU81" s="561">
        <f t="shared" si="836"/>
        <v>292.609509</v>
      </c>
      <c r="IV81" s="561">
        <f t="shared" si="836"/>
        <v>4557.7981570000002</v>
      </c>
      <c r="IW81" s="703">
        <f t="shared" si="836"/>
        <v>275.89585547045738</v>
      </c>
      <c r="IX81" s="704">
        <f t="shared" si="836"/>
        <v>406.86355731430331</v>
      </c>
      <c r="IY81" s="704">
        <f t="shared" si="836"/>
        <v>305.9742954654422</v>
      </c>
      <c r="IZ81" s="704">
        <f t="shared" si="836"/>
        <v>203.12178274646797</v>
      </c>
      <c r="JA81" s="704">
        <f t="shared" si="836"/>
        <v>394.12513583956002</v>
      </c>
      <c r="JB81" s="173">
        <f t="shared" si="836"/>
        <v>5210.5891280873084</v>
      </c>
      <c r="JC81" s="703">
        <f t="shared" si="836"/>
        <v>258.33644165369299</v>
      </c>
      <c r="JD81" s="704">
        <f t="shared" si="836"/>
        <v>515.81415876859899</v>
      </c>
      <c r="JE81" s="704">
        <f t="shared" si="836"/>
        <v>381.50512059712003</v>
      </c>
      <c r="JF81" s="704">
        <f t="shared" si="836"/>
        <v>232.34818995577101</v>
      </c>
      <c r="JG81" s="704">
        <f t="shared" si="836"/>
        <v>325.12592169892702</v>
      </c>
      <c r="JH81" s="173">
        <f t="shared" si="836"/>
        <v>5354.15114657093</v>
      </c>
      <c r="JJ81" s="559" t="s">
        <v>572</v>
      </c>
      <c r="JK81" s="583">
        <f t="shared" ref="JK81:JV81" si="837">JK50</f>
        <v>652.27442599999995</v>
      </c>
      <c r="JL81" s="561">
        <f t="shared" si="837"/>
        <v>797.903188</v>
      </c>
      <c r="JM81" s="561">
        <f t="shared" si="837"/>
        <v>10.795779</v>
      </c>
      <c r="JN81" s="562">
        <f t="shared" si="837"/>
        <v>28.148295999999998</v>
      </c>
      <c r="JO81" s="583">
        <f t="shared" si="837"/>
        <v>803.67512880879667</v>
      </c>
      <c r="JP81" s="561">
        <f t="shared" si="837"/>
        <v>722.14412640347871</v>
      </c>
      <c r="JQ81" s="561">
        <f t="shared" si="837"/>
        <v>14.68467526611666</v>
      </c>
      <c r="JR81" s="562">
        <f t="shared" si="837"/>
        <v>45.476696357838648</v>
      </c>
      <c r="JS81" s="583">
        <f t="shared" si="837"/>
        <v>732.16230933018198</v>
      </c>
      <c r="JT81" s="561">
        <f t="shared" si="837"/>
        <v>904.32699827483896</v>
      </c>
      <c r="JU81" s="561">
        <f t="shared" si="837"/>
        <v>55.363862220481998</v>
      </c>
      <c r="JV81" s="562">
        <f t="shared" si="837"/>
        <v>21.276662848607401</v>
      </c>
      <c r="JX81" s="559" t="s">
        <v>572</v>
      </c>
      <c r="JY81" s="583">
        <f t="shared" ref="JY81:KB81" si="838">JY50</f>
        <v>435.35886982371102</v>
      </c>
      <c r="JZ81" s="561">
        <f t="shared" si="838"/>
        <v>511.010493117338</v>
      </c>
      <c r="KA81" s="561">
        <f t="shared" si="838"/>
        <v>254.87074125058399</v>
      </c>
      <c r="KB81" s="562">
        <f t="shared" si="838"/>
        <v>511.88972848247698</v>
      </c>
      <c r="KC81" s="604"/>
      <c r="KD81" s="559" t="s">
        <v>572</v>
      </c>
      <c r="KE81" s="583">
        <f t="shared" ref="KE81:KV81" si="839">KE50</f>
        <v>169.265434082464</v>
      </c>
      <c r="KF81" s="561">
        <f t="shared" si="839"/>
        <v>142.19754479111899</v>
      </c>
      <c r="KG81" s="561">
        <f t="shared" si="839"/>
        <v>168.68440197034499</v>
      </c>
      <c r="KH81" s="561">
        <f t="shared" si="839"/>
        <v>187.719162979765</v>
      </c>
      <c r="KI81" s="561">
        <f t="shared" si="839"/>
        <v>222.25858421487001</v>
      </c>
      <c r="KJ81" s="562">
        <f t="shared" si="839"/>
        <v>242.26360966740299</v>
      </c>
      <c r="KK81" s="583">
        <f t="shared" si="839"/>
        <v>184.16211679418399</v>
      </c>
      <c r="KL81" s="561">
        <f t="shared" si="839"/>
        <v>78.442148087388901</v>
      </c>
      <c r="KM81" s="561">
        <f t="shared" si="839"/>
        <v>153.20130473470101</v>
      </c>
      <c r="KN81" s="561">
        <f t="shared" si="839"/>
        <v>77.364706644995707</v>
      </c>
      <c r="KO81" s="561">
        <f t="shared" si="839"/>
        <v>37.998081904597399</v>
      </c>
      <c r="KP81" s="562">
        <f t="shared" si="839"/>
        <v>30.078635437675398</v>
      </c>
      <c r="KQ81" s="583">
        <f t="shared" si="839"/>
        <v>353.42755087664801</v>
      </c>
      <c r="KR81" s="561">
        <f t="shared" si="839"/>
        <v>224.95823725653401</v>
      </c>
      <c r="KS81" s="561">
        <f t="shared" si="839"/>
        <v>321.88570670504703</v>
      </c>
      <c r="KT81" s="561">
        <f t="shared" si="839"/>
        <v>271.39522463148501</v>
      </c>
      <c r="KU81" s="561">
        <f t="shared" si="839"/>
        <v>261.24157745056198</v>
      </c>
      <c r="KV81" s="562">
        <f t="shared" si="839"/>
        <v>279.23662442274099</v>
      </c>
      <c r="KW81" s="429"/>
      <c r="KX81" s="559" t="s">
        <v>572</v>
      </c>
      <c r="KY81" s="583">
        <f t="shared" ref="KY81:LA81" si="840">KY50</f>
        <v>361.64113499999985</v>
      </c>
      <c r="KZ81" s="561">
        <f t="shared" si="840"/>
        <v>829.05372299999999</v>
      </c>
      <c r="LA81" s="562">
        <f t="shared" si="840"/>
        <v>297.42683199999999</v>
      </c>
      <c r="LB81" s="583">
        <f t="shared" ref="LB81:LD81" si="841">LB50</f>
        <v>314.35601736166927</v>
      </c>
      <c r="LC81" s="561">
        <f t="shared" si="841"/>
        <v>945.63793415110081</v>
      </c>
      <c r="LD81" s="562">
        <f t="shared" si="841"/>
        <v>323.98667688648584</v>
      </c>
      <c r="LE81" s="583">
        <f t="shared" ref="LE81:LG81" si="842">LE50</f>
        <v>392.27051324491504</v>
      </c>
      <c r="LF81" s="561">
        <f t="shared" si="842"/>
        <v>1051.7044809316601</v>
      </c>
      <c r="LG81" s="562">
        <f t="shared" si="842"/>
        <v>267.154836466765</v>
      </c>
      <c r="LH81" s="426"/>
      <c r="LI81" s="559" t="s">
        <v>572</v>
      </c>
      <c r="LJ81" s="583">
        <f t="shared" ref="LJ81:MA81" si="843">LJ50</f>
        <v>1312.7215699999999</v>
      </c>
      <c r="LK81" s="561">
        <f t="shared" si="843"/>
        <v>1166.7538099999999</v>
      </c>
      <c r="LL81" s="561">
        <f t="shared" si="843"/>
        <v>145.967761</v>
      </c>
      <c r="LM81" s="561">
        <f t="shared" si="843"/>
        <v>568.43468299999995</v>
      </c>
      <c r="LN81" s="561">
        <f t="shared" si="843"/>
        <v>80.732585</v>
      </c>
      <c r="LO81" s="562">
        <f t="shared" si="843"/>
        <v>75.458201000000003</v>
      </c>
      <c r="LP81" s="583">
        <f t="shared" si="843"/>
        <v>1384.2805655056991</v>
      </c>
      <c r="LQ81" s="561">
        <f t="shared" si="843"/>
        <v>1157.6106293011976</v>
      </c>
      <c r="LR81" s="561">
        <f t="shared" si="843"/>
        <v>226.66993620450165</v>
      </c>
      <c r="LS81" s="561">
        <f t="shared" si="843"/>
        <v>554.55111200616091</v>
      </c>
      <c r="LT81" s="561">
        <f t="shared" si="843"/>
        <v>114.27501924151842</v>
      </c>
      <c r="LU81" s="562">
        <f t="shared" si="843"/>
        <v>148.23573215874143</v>
      </c>
      <c r="LV81" s="583">
        <f t="shared" si="843"/>
        <v>1541.3854068313999</v>
      </c>
      <c r="LW81" s="561">
        <f t="shared" si="843"/>
        <v>1328.24747456617</v>
      </c>
      <c r="LX81" s="561">
        <f t="shared" si="843"/>
        <v>213.13793226523501</v>
      </c>
      <c r="LY81" s="561">
        <f t="shared" si="843"/>
        <v>477.83050135637399</v>
      </c>
      <c r="LZ81" s="561">
        <f t="shared" si="843"/>
        <v>93.313834691629694</v>
      </c>
      <c r="MA81" s="562">
        <f t="shared" si="843"/>
        <v>147.48666118839299</v>
      </c>
      <c r="MC81" s="559" t="s">
        <v>572</v>
      </c>
      <c r="MD81" s="583">
        <f t="shared" ref="MD81:MU81" si="844">MD50</f>
        <v>0</v>
      </c>
      <c r="ME81" s="561">
        <f t="shared" si="844"/>
        <v>47.787478</v>
      </c>
      <c r="MF81" s="561">
        <f t="shared" si="844"/>
        <v>318.05206099999998</v>
      </c>
      <c r="MG81" s="561">
        <f t="shared" si="844"/>
        <v>401.027513</v>
      </c>
      <c r="MH81" s="561">
        <f t="shared" si="844"/>
        <v>197.38916699999999</v>
      </c>
      <c r="MI81" s="562">
        <f t="shared" si="844"/>
        <v>203.49759</v>
      </c>
      <c r="MJ81" s="583">
        <f t="shared" si="844"/>
        <v>0</v>
      </c>
      <c r="MK81" s="561">
        <f t="shared" si="844"/>
        <v>66.63205109482864</v>
      </c>
      <c r="ML81" s="561">
        <f t="shared" si="844"/>
        <v>353.54737836850069</v>
      </c>
      <c r="MM81" s="561">
        <f t="shared" si="844"/>
        <v>359.30832825652197</v>
      </c>
      <c r="MN81" s="561">
        <f t="shared" si="844"/>
        <v>258.82148572043781</v>
      </c>
      <c r="MO81" s="562">
        <f t="shared" si="844"/>
        <v>119.30138586090848</v>
      </c>
      <c r="MP81" s="583">
        <f t="shared" si="844"/>
        <v>0</v>
      </c>
      <c r="MQ81" s="561">
        <f t="shared" si="844"/>
        <v>86.825299214581705</v>
      </c>
      <c r="MR81" s="561">
        <f t="shared" si="844"/>
        <v>382.01650646515998</v>
      </c>
      <c r="MS81" s="561">
        <f t="shared" si="844"/>
        <v>412.323580890149</v>
      </c>
      <c r="MT81" s="561">
        <f t="shared" si="844"/>
        <v>281.14679371264998</v>
      </c>
      <c r="MU81" s="562">
        <f t="shared" si="844"/>
        <v>158.93528717593</v>
      </c>
      <c r="MW81" s="559" t="s">
        <v>572</v>
      </c>
      <c r="MX81" s="583">
        <f t="shared" ref="MX81:NF81" si="845">MX50</f>
        <v>1183.3316159999999</v>
      </c>
      <c r="MY81" s="561">
        <f t="shared" si="845"/>
        <v>1053.2127640000001</v>
      </c>
      <c r="MZ81" s="561">
        <f t="shared" si="845"/>
        <v>130.11885100000001</v>
      </c>
      <c r="NA81" s="583">
        <f t="shared" si="845"/>
        <v>1175.2470109863614</v>
      </c>
      <c r="NB81" s="561">
        <f t="shared" si="845"/>
        <v>997.37358126849597</v>
      </c>
      <c r="NC81" s="562">
        <f t="shared" si="845"/>
        <v>177.87342971786552</v>
      </c>
      <c r="ND81" s="583">
        <f t="shared" si="845"/>
        <v>1348.24922956201</v>
      </c>
      <c r="NE81" s="561">
        <f t="shared" si="845"/>
        <v>1150.09865047575</v>
      </c>
      <c r="NF81" s="562">
        <f t="shared" si="845"/>
        <v>198.15057908625701</v>
      </c>
      <c r="NH81" s="559" t="s">
        <v>572</v>
      </c>
      <c r="NI81" s="583">
        <f t="shared" ref="NI81:NR81" si="846">NI50</f>
        <v>799.33308410391453</v>
      </c>
      <c r="NJ81" s="562">
        <f t="shared" si="846"/>
        <v>198.04049716458132</v>
      </c>
      <c r="NK81" s="583">
        <f t="shared" si="846"/>
        <v>105.36479980200821</v>
      </c>
      <c r="NL81" s="561">
        <f t="shared" si="846"/>
        <v>72.508629915857327</v>
      </c>
      <c r="NM81" s="562">
        <f t="shared" si="846"/>
        <v>0</v>
      </c>
      <c r="NN81" s="583">
        <f t="shared" si="846"/>
        <v>888.76599396824599</v>
      </c>
      <c r="NO81" s="562">
        <f t="shared" si="846"/>
        <v>261.33265650750559</v>
      </c>
      <c r="NP81" s="583">
        <f t="shared" si="846"/>
        <v>117.979775040677</v>
      </c>
      <c r="NQ81" s="561">
        <f t="shared" si="846"/>
        <v>76.8285761474433</v>
      </c>
      <c r="NR81" s="562">
        <f t="shared" si="846"/>
        <v>3.34222789813587</v>
      </c>
      <c r="NS81" s="136"/>
      <c r="NT81" s="559" t="s">
        <v>572</v>
      </c>
      <c r="NU81" s="583">
        <f t="shared" ref="NU81:OB81" si="847">NU50</f>
        <v>142.02899121563979</v>
      </c>
      <c r="NV81" s="561">
        <f t="shared" si="847"/>
        <v>23.007195168146161</v>
      </c>
      <c r="NW81" s="561">
        <f t="shared" si="847"/>
        <v>6.9971179571874096</v>
      </c>
      <c r="NX81" s="562">
        <f t="shared" si="847"/>
        <v>26.007192823607966</v>
      </c>
      <c r="NY81" s="583">
        <f t="shared" si="847"/>
        <v>177.87307551715799</v>
      </c>
      <c r="NZ81" s="561">
        <f t="shared" si="847"/>
        <v>26.728641976096601</v>
      </c>
      <c r="OA81" s="561">
        <f t="shared" si="847"/>
        <v>3.0025149194526102</v>
      </c>
      <c r="OB81" s="562">
        <f t="shared" si="847"/>
        <v>53.728424094798399</v>
      </c>
      <c r="OC81" s="553"/>
      <c r="OD81" s="559" t="s">
        <v>572</v>
      </c>
      <c r="OE81" s="583">
        <f t="shared" ref="OE81:OR81" si="848">OE50</f>
        <v>53.582422041432402</v>
      </c>
      <c r="OF81" s="561">
        <f t="shared" si="848"/>
        <v>104.129315729103</v>
      </c>
      <c r="OG81" s="561">
        <f t="shared" si="848"/>
        <v>137.14588481904801</v>
      </c>
      <c r="OH81" s="561">
        <f t="shared" si="848"/>
        <v>67.197700127905307</v>
      </c>
      <c r="OI81" s="561">
        <f t="shared" si="848"/>
        <v>530.18492085907496</v>
      </c>
      <c r="OJ81" s="561">
        <f t="shared" si="848"/>
        <v>44.490129746337701</v>
      </c>
      <c r="OK81" s="562">
        <f t="shared" si="848"/>
        <v>20.430061335413399</v>
      </c>
      <c r="OL81" s="583">
        <f t="shared" si="848"/>
        <v>79.212127128483999</v>
      </c>
      <c r="OM81" s="561">
        <f t="shared" si="848"/>
        <v>111.781493154061</v>
      </c>
      <c r="ON81" s="561">
        <f t="shared" si="848"/>
        <v>137.14588481904801</v>
      </c>
      <c r="OO81" s="561">
        <f t="shared" si="848"/>
        <v>67.197700127905307</v>
      </c>
      <c r="OP81" s="561">
        <f t="shared" si="848"/>
        <v>708.30249471938805</v>
      </c>
      <c r="OQ81" s="561">
        <f t="shared" si="848"/>
        <v>357.35877515572798</v>
      </c>
      <c r="OR81" s="562">
        <f t="shared" si="848"/>
        <v>1881.8544899224901</v>
      </c>
      <c r="OT81" s="559" t="s">
        <v>572</v>
      </c>
      <c r="OU81" s="583">
        <f t="shared" ref="OU81:PF81" si="849">OU50</f>
        <v>544.53988499999991</v>
      </c>
      <c r="OV81" s="561">
        <f t="shared" si="849"/>
        <v>273.03603199999998</v>
      </c>
      <c r="OW81" s="561">
        <f t="shared" si="849"/>
        <v>298.59697899999998</v>
      </c>
      <c r="OX81" s="562">
        <f t="shared" si="849"/>
        <v>815.13638700000001</v>
      </c>
      <c r="OY81" s="583">
        <f t="shared" si="849"/>
        <v>531.32644011467528</v>
      </c>
      <c r="OZ81" s="561">
        <f t="shared" si="849"/>
        <v>318.10184380587441</v>
      </c>
      <c r="PA81" s="561">
        <f t="shared" si="849"/>
        <v>329.84809302319832</v>
      </c>
      <c r="PB81" s="562">
        <f t="shared" si="849"/>
        <v>944.05171249125158</v>
      </c>
      <c r="PC81" s="583">
        <f t="shared" si="849"/>
        <v>417.35804341242101</v>
      </c>
      <c r="PD81" s="561">
        <f t="shared" si="849"/>
        <v>348.18130762941598</v>
      </c>
      <c r="PE81" s="561">
        <f t="shared" si="849"/>
        <v>377.865535847697</v>
      </c>
      <c r="PF81" s="562">
        <f t="shared" si="849"/>
        <v>1209.0057609672449</v>
      </c>
      <c r="PH81" s="559" t="s">
        <v>572</v>
      </c>
      <c r="PI81" s="583">
        <f t="shared" ref="PI81:PP81" si="850">PI50</f>
        <v>164.3591878879395</v>
      </c>
      <c r="PJ81" s="561">
        <f t="shared" si="850"/>
        <v>187.12718946862299</v>
      </c>
      <c r="PK81" s="561">
        <f t="shared" si="850"/>
        <v>211.80031947610499</v>
      </c>
      <c r="PL81" s="562">
        <f t="shared" si="850"/>
        <v>600.28600470147194</v>
      </c>
      <c r="PM81" s="583">
        <f t="shared" si="850"/>
        <v>252.9988555244814</v>
      </c>
      <c r="PN81" s="561">
        <f t="shared" si="850"/>
        <v>161.05411816079399</v>
      </c>
      <c r="PO81" s="561">
        <f t="shared" si="850"/>
        <v>166.06521637159199</v>
      </c>
      <c r="PP81" s="562">
        <f t="shared" si="850"/>
        <v>608.71975626577398</v>
      </c>
      <c r="PQ81" s="65"/>
      <c r="PR81" s="563" t="s">
        <v>572</v>
      </c>
      <c r="PS81" s="1038">
        <f t="shared" ref="PS81:PW81" si="851">PS50</f>
        <v>57.013377235030497</v>
      </c>
      <c r="PT81" s="1039">
        <f t="shared" si="851"/>
        <v>97.827450043244994</v>
      </c>
      <c r="PU81" s="1039">
        <f t="shared" si="851"/>
        <v>148.18790111155499</v>
      </c>
      <c r="PV81" s="1039">
        <f t="shared" si="851"/>
        <v>23.23983406484</v>
      </c>
      <c r="PW81" s="1039">
        <f t="shared" si="851"/>
        <v>761.59782986862103</v>
      </c>
      <c r="PX81" s="1040">
        <f t="shared" ref="PX81" si="852">PX50</f>
        <v>253.382830131021</v>
      </c>
      <c r="PZ81" s="563" t="s">
        <v>572</v>
      </c>
      <c r="QA81" s="1038">
        <f t="shared" ref="QA81:QF81" si="853">QA50</f>
        <v>776.26201632203095</v>
      </c>
      <c r="QB81" s="1039">
        <f t="shared" si="853"/>
        <v>571.98721323997802</v>
      </c>
      <c r="QC81" s="1039">
        <f t="shared" si="853"/>
        <v>411.71740097482302</v>
      </c>
      <c r="QD81" s="1039">
        <f t="shared" ref="QD81" si="854">QD50</f>
        <v>69.311377919466807</v>
      </c>
      <c r="QE81" s="1039">
        <f t="shared" si="853"/>
        <v>84.291168251824502</v>
      </c>
      <c r="QF81" s="1040">
        <f t="shared" si="853"/>
        <v>6.6672660938636001</v>
      </c>
    </row>
    <row r="82" spans="1:448" ht="13.5" customHeight="1">
      <c r="A82" s="136"/>
      <c r="B82" s="559" t="s">
        <v>601</v>
      </c>
      <c r="C82" s="561">
        <f t="shared" ref="C82" si="855">C51+C52+C53+C54+C55+C56</f>
        <v>10136.890475999999</v>
      </c>
      <c r="D82" s="561">
        <f t="shared" ref="D82:E82" si="856">D51+D52+D53+D54+D55+D56</f>
        <v>10432.544009649195</v>
      </c>
      <c r="E82" s="562">
        <f t="shared" si="856"/>
        <v>10982.665419168659</v>
      </c>
      <c r="F82" s="136"/>
      <c r="G82" s="559" t="s">
        <v>601</v>
      </c>
      <c r="H82" s="318">
        <f t="shared" si="447"/>
        <v>5.7663336711668567E-3</v>
      </c>
      <c r="I82" s="668">
        <f t="shared" si="448"/>
        <v>1.0330597313221057E-2</v>
      </c>
      <c r="J82" s="612"/>
      <c r="K82" s="63"/>
      <c r="L82" s="559" t="s">
        <v>601</v>
      </c>
      <c r="M82" s="583">
        <f t="shared" ref="M82:T82" si="857">M51+M52+M53+M54+M55+M56</f>
        <v>134</v>
      </c>
      <c r="N82" s="561">
        <f t="shared" si="857"/>
        <v>127</v>
      </c>
      <c r="O82" s="561">
        <f t="shared" si="857"/>
        <v>122</v>
      </c>
      <c r="P82" s="561">
        <f t="shared" si="857"/>
        <v>141</v>
      </c>
      <c r="Q82" s="561">
        <f t="shared" si="857"/>
        <v>122</v>
      </c>
      <c r="R82" s="561">
        <f t="shared" si="857"/>
        <v>134</v>
      </c>
      <c r="S82" s="561">
        <f t="shared" si="857"/>
        <v>119</v>
      </c>
      <c r="T82" s="561">
        <f t="shared" si="857"/>
        <v>133</v>
      </c>
      <c r="U82" s="561">
        <f t="shared" ref="U82:V82" si="858">U51+U52+U53+U54+U55+U56</f>
        <v>114</v>
      </c>
      <c r="V82" s="561">
        <f t="shared" si="858"/>
        <v>124</v>
      </c>
      <c r="W82" s="562">
        <f t="shared" ref="W82" si="859">W51+W52+W53+W54+W55+W56</f>
        <v>129</v>
      </c>
      <c r="X82" s="559" t="s">
        <v>601</v>
      </c>
      <c r="Y82" s="583">
        <f t="shared" ref="Y82:AB82" si="860">Y51+Y52+Y53+Y54+Y55+Y56</f>
        <v>130.5</v>
      </c>
      <c r="Z82" s="561">
        <f t="shared" si="860"/>
        <v>131.5</v>
      </c>
      <c r="AA82" s="561">
        <f t="shared" si="860"/>
        <v>128</v>
      </c>
      <c r="AB82" s="561">
        <f t="shared" si="860"/>
        <v>126</v>
      </c>
      <c r="AC82" s="1206">
        <f t="shared" ref="AC82" si="861">AC51+AC52+AC53+AC54+AC55+AC56</f>
        <v>126</v>
      </c>
      <c r="AD82" s="336">
        <f t="shared" si="98"/>
        <v>7.6628352490421452E-3</v>
      </c>
      <c r="AE82" s="336">
        <f t="shared" si="99"/>
        <v>-2.6615969581749048E-2</v>
      </c>
      <c r="AF82" s="336">
        <f t="shared" si="100"/>
        <v>-1.5625E-2</v>
      </c>
      <c r="AG82" s="1217">
        <f t="shared" si="101"/>
        <v>0</v>
      </c>
      <c r="AN82" s="559" t="s">
        <v>601</v>
      </c>
      <c r="AO82" s="583">
        <f t="shared" ref="AO82:AV82" si="862">AO51+AO52+AO53+AO54+AO55+AO56</f>
        <v>3.8074859999999999</v>
      </c>
      <c r="AP82" s="561">
        <f t="shared" si="862"/>
        <v>122.954678</v>
      </c>
      <c r="AQ82" s="561">
        <f t="shared" si="862"/>
        <v>225.666898</v>
      </c>
      <c r="AR82" s="561">
        <f t="shared" si="862"/>
        <v>969.27949399999989</v>
      </c>
      <c r="AS82" s="561">
        <f t="shared" si="862"/>
        <v>1814.1412139999998</v>
      </c>
      <c r="AT82" s="561">
        <f t="shared" si="862"/>
        <v>1650.2475019999999</v>
      </c>
      <c r="AU82" s="561">
        <f t="shared" si="862"/>
        <v>2769.3151710000002</v>
      </c>
      <c r="AV82" s="562">
        <f t="shared" si="862"/>
        <v>1129.0108090000001</v>
      </c>
      <c r="AW82" s="583">
        <f t="shared" ref="AW82:BD82" si="863">AW51+AW52+AW53+AW54+AW55+AW56</f>
        <v>0</v>
      </c>
      <c r="AX82" s="561">
        <f t="shared" si="863"/>
        <v>127.38806525771996</v>
      </c>
      <c r="AY82" s="561">
        <f t="shared" si="863"/>
        <v>337.30188629897611</v>
      </c>
      <c r="AZ82" s="561">
        <f t="shared" si="863"/>
        <v>1035.8556322994741</v>
      </c>
      <c r="BA82" s="561">
        <f t="shared" si="863"/>
        <v>1898.6389469874684</v>
      </c>
      <c r="BB82" s="561">
        <f t="shared" si="863"/>
        <v>1653.4407895305887</v>
      </c>
      <c r="BC82" s="561">
        <f t="shared" si="863"/>
        <v>2750.4036110162206</v>
      </c>
      <c r="BD82" s="562">
        <f t="shared" si="863"/>
        <v>1073.2837484309189</v>
      </c>
      <c r="BE82" s="583">
        <f t="shared" ref="BE82:BL82" si="864">BE51+BE52+BE53+BE54+BE55+BE56</f>
        <v>3.18026566073135</v>
      </c>
      <c r="BF82" s="561">
        <f t="shared" si="864"/>
        <v>162.87742759777458</v>
      </c>
      <c r="BG82" s="561">
        <f t="shared" si="864"/>
        <v>438.53955400651461</v>
      </c>
      <c r="BH82" s="561">
        <f t="shared" si="864"/>
        <v>1215.8672235557501</v>
      </c>
      <c r="BI82" s="561">
        <f t="shared" si="864"/>
        <v>2069.4935041490962</v>
      </c>
      <c r="BJ82" s="561">
        <f t="shared" si="864"/>
        <v>1443.2726929413061</v>
      </c>
      <c r="BK82" s="561">
        <f t="shared" si="864"/>
        <v>2647.683767875305</v>
      </c>
      <c r="BL82" s="562">
        <f t="shared" si="864"/>
        <v>1319.98180305195</v>
      </c>
      <c r="BN82" s="559" t="s">
        <v>601</v>
      </c>
      <c r="BO82" s="583">
        <f t="shared" ref="BO82:BT82" si="865">BO51+BO52+BO53+BO54+BO55+BO56</f>
        <v>1446.4672349999998</v>
      </c>
      <c r="BP82" s="561">
        <f t="shared" si="865"/>
        <v>2071.2847310000002</v>
      </c>
      <c r="BQ82" s="561">
        <f t="shared" si="865"/>
        <v>2010.707934</v>
      </c>
      <c r="BR82" s="561">
        <f t="shared" si="865"/>
        <v>1740.2996720000001</v>
      </c>
      <c r="BS82" s="561">
        <f t="shared" si="865"/>
        <v>1818.6373649999998</v>
      </c>
      <c r="BT82" s="562">
        <f t="shared" si="865"/>
        <v>1049.4935370000001</v>
      </c>
      <c r="BU82" s="583">
        <f t="shared" ref="BU82:BZ82" si="866">BU51+BU52+BU53+BU54+BU55+BU56</f>
        <v>1559.2313274832889</v>
      </c>
      <c r="BV82" s="561">
        <f t="shared" si="866"/>
        <v>2118.0185546473626</v>
      </c>
      <c r="BW82" s="561">
        <f t="shared" si="866"/>
        <v>1887.848408503583</v>
      </c>
      <c r="BX82" s="561">
        <f t="shared" si="866"/>
        <v>1906.5537014407305</v>
      </c>
      <c r="BY82" s="561">
        <f t="shared" si="866"/>
        <v>1509.6934794846557</v>
      </c>
      <c r="BZ82" s="562">
        <f t="shared" si="866"/>
        <v>1451.198538089574</v>
      </c>
      <c r="CA82" s="583">
        <f t="shared" ref="CA82:CF82" si="867">CA51+CA52+CA53+CA54+CA55+CA56</f>
        <v>1691.769190484079</v>
      </c>
      <c r="CB82" s="561">
        <f t="shared" si="867"/>
        <v>2241.4139582917819</v>
      </c>
      <c r="CC82" s="561">
        <f t="shared" si="867"/>
        <v>2027.7968478375569</v>
      </c>
      <c r="CD82" s="561">
        <f t="shared" si="867"/>
        <v>1981.415588913673</v>
      </c>
      <c r="CE82" s="561">
        <f t="shared" si="867"/>
        <v>1565.2114094054309</v>
      </c>
      <c r="CF82" s="562">
        <f t="shared" si="867"/>
        <v>1475.0584242361338</v>
      </c>
      <c r="CG82" s="429"/>
      <c r="CH82" s="559" t="s">
        <v>601</v>
      </c>
      <c r="CI82" s="583">
        <f t="shared" ref="CI82:CK82" si="868">CI51+CI52+CI53+CI54+CI55+CI56</f>
        <v>2128.0513270000001</v>
      </c>
      <c r="CJ82" s="561">
        <f t="shared" si="868"/>
        <v>5642.0329339999998</v>
      </c>
      <c r="CK82" s="561">
        <f t="shared" si="868"/>
        <v>2366.8062149999996</v>
      </c>
      <c r="CL82" s="583">
        <f t="shared" ref="CL82:CN82" si="869">CL51+CL52+CL53+CL54+CL55+CL56</f>
        <v>2148.3623543729891</v>
      </c>
      <c r="CM82" s="561">
        <f t="shared" si="869"/>
        <v>5827.8545339875027</v>
      </c>
      <c r="CN82" s="561">
        <f t="shared" si="869"/>
        <v>2456.327121288703</v>
      </c>
      <c r="CO82" s="583">
        <f t="shared" ref="CO82:CQ82" si="870">CO51+CO52+CO53+CO54+CO55+CO56</f>
        <v>2321.9592101243338</v>
      </c>
      <c r="CP82" s="561">
        <f t="shared" si="870"/>
        <v>6246.3336071429858</v>
      </c>
      <c r="CQ82" s="562">
        <f t="shared" si="870"/>
        <v>2414.3726019013352</v>
      </c>
      <c r="CR82" s="429"/>
      <c r="DG82" s="559" t="s">
        <v>601</v>
      </c>
      <c r="DH82" s="829"/>
      <c r="DI82" s="830"/>
      <c r="DJ82" s="830"/>
      <c r="DK82" s="830"/>
      <c r="DL82" s="830"/>
      <c r="DM82" s="831"/>
      <c r="DO82" s="559" t="s">
        <v>601</v>
      </c>
      <c r="DP82" s="704">
        <f t="shared" ref="DP82:DR82" si="871">DP51+DP52+DP53+DP54+DP55+DP56</f>
        <v>5164.4025409999995</v>
      </c>
      <c r="DQ82" s="561">
        <f t="shared" si="871"/>
        <v>5453.5405365697088</v>
      </c>
      <c r="DR82" s="562">
        <f t="shared" si="871"/>
        <v>5907.8473286520029</v>
      </c>
      <c r="DS82" s="63"/>
      <c r="DT82" s="559" t="s">
        <v>601</v>
      </c>
      <c r="DU82" s="583">
        <f t="shared" ref="DU82:DW82" si="872">DU51+DU52+DU53+DU54+DU55+DU56</f>
        <v>10002.89064</v>
      </c>
      <c r="DV82" s="561">
        <f t="shared" si="872"/>
        <v>10341.544080766853</v>
      </c>
      <c r="DW82" s="562">
        <f t="shared" si="872"/>
        <v>10905.665340984011</v>
      </c>
      <c r="DX82" s="63"/>
      <c r="DY82" s="559" t="s">
        <v>601</v>
      </c>
      <c r="DZ82" s="1092">
        <f t="shared" si="410"/>
        <v>1.9368921304231077</v>
      </c>
      <c r="EA82" s="790">
        <f t="shared" si="411"/>
        <v>1.8962991127359825</v>
      </c>
      <c r="EB82" s="779">
        <f t="shared" si="412"/>
        <v>1.8459626212907507</v>
      </c>
      <c r="ED82" s="541"/>
      <c r="EE82" s="559" t="s">
        <v>601</v>
      </c>
      <c r="EF82" s="583">
        <f t="shared" ref="EF82:EJ82" si="873">EF51+EF52+EF53+EF54+EF55+EF56</f>
        <v>2203.3339270000001</v>
      </c>
      <c r="EG82" s="561">
        <f t="shared" si="873"/>
        <v>89.25841299999999</v>
      </c>
      <c r="EH82" s="561">
        <f t="shared" si="873"/>
        <v>1424.190572</v>
      </c>
      <c r="EI82" s="561">
        <f t="shared" si="873"/>
        <v>861.497344</v>
      </c>
      <c r="EJ82" s="561">
        <f t="shared" si="873"/>
        <v>586.12228600000003</v>
      </c>
      <c r="EK82" s="583">
        <f t="shared" ref="EK82:EO82" si="874">EK51+EK52+EK53+EK54+EK55+EK56</f>
        <v>2546.9856440235662</v>
      </c>
      <c r="EL82" s="561">
        <f t="shared" si="874"/>
        <v>86.317844136082556</v>
      </c>
      <c r="EM82" s="561">
        <f t="shared" si="874"/>
        <v>1315.980060895135</v>
      </c>
      <c r="EN82" s="561">
        <f t="shared" si="874"/>
        <v>914.97428419717448</v>
      </c>
      <c r="EO82" s="561">
        <f t="shared" si="874"/>
        <v>589.28270331775047</v>
      </c>
      <c r="EP82" s="583">
        <f t="shared" ref="EP82:ET82" si="875">EP51+EP52+EP53+EP54+EP55+EP56</f>
        <v>2962.1059013866447</v>
      </c>
      <c r="EQ82" s="561">
        <f t="shared" si="875"/>
        <v>54.51505463291462</v>
      </c>
      <c r="ER82" s="561">
        <f t="shared" si="875"/>
        <v>1255.3743807653709</v>
      </c>
      <c r="ES82" s="561">
        <f t="shared" si="875"/>
        <v>933.06084749141655</v>
      </c>
      <c r="ET82" s="562">
        <f t="shared" si="875"/>
        <v>702.79114437566398</v>
      </c>
      <c r="EV82" s="559" t="s">
        <v>601</v>
      </c>
      <c r="EW82" s="583">
        <f t="shared" ref="EW82:FD82" si="876">EW51+EW52+EW53+EW54+EW55+EW56</f>
        <v>215.45591699999997</v>
      </c>
      <c r="EX82" s="561">
        <f t="shared" si="876"/>
        <v>955.73257999999987</v>
      </c>
      <c r="EY82" s="561">
        <f t="shared" si="876"/>
        <v>849.21666200000004</v>
      </c>
      <c r="EZ82" s="561">
        <f t="shared" si="876"/>
        <v>183.928766</v>
      </c>
      <c r="FA82" s="583">
        <f t="shared" si="876"/>
        <v>1310.575568</v>
      </c>
      <c r="FB82" s="561">
        <f t="shared" si="876"/>
        <v>3888.4816949999999</v>
      </c>
      <c r="FC82" s="561">
        <f t="shared" si="876"/>
        <v>2892.6426549999996</v>
      </c>
      <c r="FD82" s="561">
        <f t="shared" si="876"/>
        <v>467.72348299999999</v>
      </c>
      <c r="FE82" s="583">
        <f t="shared" ref="FE82:FL82" si="877">FE51+FE52+FE53+FE54+FE55+FE56</f>
        <v>217.05497412429389</v>
      </c>
      <c r="FF82" s="561">
        <f t="shared" si="877"/>
        <v>1000.6072946665176</v>
      </c>
      <c r="FG82" s="561">
        <f t="shared" si="877"/>
        <v>896.20508805631459</v>
      </c>
      <c r="FH82" s="562">
        <f t="shared" si="877"/>
        <v>435.11828561341423</v>
      </c>
      <c r="FI82" s="583">
        <f t="shared" si="877"/>
        <v>1259.5874486948965</v>
      </c>
      <c r="FJ82" s="561">
        <f t="shared" si="877"/>
        <v>4026.7656493421746</v>
      </c>
      <c r="FK82" s="561">
        <f t="shared" si="877"/>
        <v>2653.6310995215631</v>
      </c>
      <c r="FL82" s="562">
        <f t="shared" si="877"/>
        <v>836.32856041400657</v>
      </c>
      <c r="FM82" s="703">
        <f t="shared" ref="FM82:FT82" si="878">FM51+FM52+FM53+FM54+FM55+FM56</f>
        <v>298.73789420348254</v>
      </c>
      <c r="FN82" s="704">
        <f t="shared" si="878"/>
        <v>977.47348936397555</v>
      </c>
      <c r="FO82" s="704">
        <f t="shared" si="878"/>
        <v>1214.7656067615251</v>
      </c>
      <c r="FP82" s="173">
        <f t="shared" si="878"/>
        <v>472.12891207304926</v>
      </c>
      <c r="FQ82" s="703">
        <f t="shared" si="878"/>
        <v>1387.9964370835069</v>
      </c>
      <c r="FR82" s="704">
        <f t="shared" si="878"/>
        <v>4087.2536464114783</v>
      </c>
      <c r="FS82" s="704">
        <f t="shared" si="878"/>
        <v>2808.167664022636</v>
      </c>
      <c r="FT82" s="173">
        <f t="shared" si="878"/>
        <v>921.47839384384133</v>
      </c>
      <c r="FV82" s="559" t="s">
        <v>601</v>
      </c>
      <c r="FW82" s="583">
        <f t="shared" ref="FW82:GH82" si="879">FW51+FW52+FW53+FW54+FW55+FW56</f>
        <v>1579.4277520000001</v>
      </c>
      <c r="FX82" s="561">
        <f t="shared" si="879"/>
        <v>641.33410299999991</v>
      </c>
      <c r="FY82" s="561">
        <f t="shared" si="879"/>
        <v>489.56438700000001</v>
      </c>
      <c r="FZ82" s="562">
        <f t="shared" si="879"/>
        <v>165.48913099999999</v>
      </c>
      <c r="GA82" s="583">
        <f t="shared" si="879"/>
        <v>1448.8753068826741</v>
      </c>
      <c r="GB82" s="561">
        <f t="shared" si="879"/>
        <v>692.82692032936473</v>
      </c>
      <c r="GC82" s="561">
        <f t="shared" si="879"/>
        <v>518.38983013464167</v>
      </c>
      <c r="GD82" s="562">
        <f t="shared" si="879"/>
        <v>170.25770929172745</v>
      </c>
      <c r="GE82" s="583">
        <f t="shared" si="879"/>
        <v>1451.2735704111051</v>
      </c>
      <c r="GF82" s="561">
        <f t="shared" si="879"/>
        <v>739.35882374290134</v>
      </c>
      <c r="GG82" s="561">
        <f t="shared" si="879"/>
        <v>475.57009703705739</v>
      </c>
      <c r="GH82" s="562">
        <f t="shared" si="879"/>
        <v>232.16885561517404</v>
      </c>
      <c r="GJ82" s="559" t="s">
        <v>601</v>
      </c>
      <c r="GK82" s="561">
        <f t="shared" ref="GK82:GM82" si="880">GK51+GK52+GK53+GK54+GK55+GK56</f>
        <v>5391.9936960000005</v>
      </c>
      <c r="GL82" s="561">
        <f t="shared" si="880"/>
        <v>5767.9957372037952</v>
      </c>
      <c r="GM82" s="562">
        <f t="shared" si="880"/>
        <v>6369.0059926412614</v>
      </c>
      <c r="GO82" s="559" t="s">
        <v>601</v>
      </c>
      <c r="GP82" s="583">
        <f t="shared" ref="GP82:GX82" si="881">GP51+GP52+GP53+GP54+GP55+GP56</f>
        <v>5166.4025389999997</v>
      </c>
      <c r="GQ82" s="561">
        <f t="shared" si="881"/>
        <v>37.185800999999998</v>
      </c>
      <c r="GR82" s="562">
        <f t="shared" si="881"/>
        <v>188.40535699999998</v>
      </c>
      <c r="GS82" s="583">
        <f t="shared" si="881"/>
        <v>5454.5405357881964</v>
      </c>
      <c r="GT82" s="561">
        <f t="shared" si="881"/>
        <v>43.319473599114595</v>
      </c>
      <c r="GU82" s="562">
        <f t="shared" si="881"/>
        <v>270.13572781648492</v>
      </c>
      <c r="GV82" s="583">
        <f t="shared" si="881"/>
        <v>5901.8473225596981</v>
      </c>
      <c r="GW82" s="561">
        <f t="shared" si="881"/>
        <v>67.215080228994211</v>
      </c>
      <c r="GX82" s="562">
        <f t="shared" si="881"/>
        <v>399.94358985257219</v>
      </c>
      <c r="GZ82" s="559" t="s">
        <v>601</v>
      </c>
      <c r="HA82" s="583">
        <f t="shared" ref="HA82:HI82" si="882">HA51+HA52+HA53+HA54+HA55+HA56</f>
        <v>1626.6946519999999</v>
      </c>
      <c r="HB82" s="561">
        <f t="shared" si="882"/>
        <v>3737.0386540000004</v>
      </c>
      <c r="HC82" s="562">
        <f t="shared" si="882"/>
        <v>28.260389999999916</v>
      </c>
      <c r="HD82" s="583">
        <f t="shared" si="882"/>
        <v>1730.4731573770241</v>
      </c>
      <c r="HE82" s="561">
        <f t="shared" si="882"/>
        <v>3859.8070614244507</v>
      </c>
      <c r="HF82" s="562">
        <f t="shared" si="882"/>
        <v>177.71551840232109</v>
      </c>
      <c r="HG82" s="583">
        <f t="shared" si="882"/>
        <v>1570.845392516595</v>
      </c>
      <c r="HH82" s="561">
        <f t="shared" si="882"/>
        <v>4706.956545341448</v>
      </c>
      <c r="HI82" s="562">
        <f t="shared" si="882"/>
        <v>91.204054783218112</v>
      </c>
      <c r="HK82" s="559" t="s">
        <v>601</v>
      </c>
      <c r="HL82" s="561">
        <f t="shared" ref="HL82:HO82" si="883">HL51+HL52+HL53+HL54+HL55+HL56</f>
        <v>5166.4025389999997</v>
      </c>
      <c r="HM82" s="561">
        <f t="shared" ref="HM82" si="884">HM51+HM52+HM53+HM54+HM55+HM56</f>
        <v>17831.572725999999</v>
      </c>
      <c r="HN82" s="779">
        <f t="shared" si="477"/>
        <v>3.4514485836892317</v>
      </c>
      <c r="HO82" s="583">
        <f t="shared" si="883"/>
        <v>5454.5405357881964</v>
      </c>
      <c r="HP82" s="561">
        <f t="shared" ref="HP82" si="885">HP51+HP52+HP53+HP54+HP55+HP56</f>
        <v>18267.955500604316</v>
      </c>
      <c r="HQ82" s="779">
        <f t="shared" si="479"/>
        <v>3.3491281952613714</v>
      </c>
      <c r="HR82" s="561">
        <f>HR51+HR52+HR53+HR54+HR55+HR56</f>
        <v>5901.8473225596981</v>
      </c>
      <c r="HS82" s="561">
        <f>HS51+HS52+HS53+HS54+HS55+HS56</f>
        <v>19671.208540393811</v>
      </c>
      <c r="HT82" s="784">
        <f t="shared" si="480"/>
        <v>3.3330595431028849</v>
      </c>
      <c r="HV82" s="559" t="s">
        <v>601</v>
      </c>
      <c r="HW82" s="583">
        <f>HW51+HW52+HW53+HW54+HW55+HW56</f>
        <v>1584.7502309999998</v>
      </c>
      <c r="HX82" s="561">
        <f>HX51+HX52+HX53+HX54+HX55+HX56</f>
        <v>6967.2972929999996</v>
      </c>
      <c r="HY82" s="790">
        <f t="shared" si="481"/>
        <v>4.396463970605347</v>
      </c>
      <c r="HZ82" s="561">
        <f>HZ51+HZ52+HZ53+HZ54+HZ55+HZ56</f>
        <v>3553.3919169999999</v>
      </c>
      <c r="IA82" s="561">
        <f>IA51+IA52+IA53+IA54+IA55+IA56</f>
        <v>10799.659878</v>
      </c>
      <c r="IB82" s="790">
        <f t="shared" si="482"/>
        <v>3.0392537975709031</v>
      </c>
      <c r="IC82" s="583">
        <f>IC51+IC52+IC53+IC54+IC55+IC56</f>
        <v>1648.7179059961081</v>
      </c>
      <c r="ID82" s="561">
        <f>ID51+ID52+ID53+ID54+ID55+ID56</f>
        <v>7061.2515186772744</v>
      </c>
      <c r="IE82" s="790">
        <f t="shared" si="483"/>
        <v>4.2828742824935047</v>
      </c>
      <c r="IF82" s="561">
        <f>IF51+IF52+IF53+IF54+IF55+IF56</f>
        <v>3640.2474156093836</v>
      </c>
      <c r="IG82" s="561">
        <f>IG51+IG52+IG53+IG54+IG55+IG56</f>
        <v>10993.538944289878</v>
      </c>
      <c r="IH82" s="790">
        <f t="shared" si="126"/>
        <v>3.0199977334369019</v>
      </c>
      <c r="II82" s="583">
        <f>II51+II52+II53+II54+II55+II56</f>
        <v>1468.2311741874005</v>
      </c>
      <c r="IJ82" s="561">
        <f>IJ51+IJ52+IJ53+IJ54+IJ55+IJ56</f>
        <v>6283.2815953489153</v>
      </c>
      <c r="IK82" s="790">
        <f t="shared" si="484"/>
        <v>4.2794906591098822</v>
      </c>
      <c r="IL82" s="561">
        <f>IL51+IL52+IL53+IL54+IL55+IL56</f>
        <v>4342.4120935890669</v>
      </c>
      <c r="IM82" s="561">
        <f>IM51+IM52+IM53+IM54+IM55+IM56</f>
        <v>13251.079551987899</v>
      </c>
      <c r="IN82" s="779">
        <f t="shared" si="485"/>
        <v>3.0515481410783583</v>
      </c>
      <c r="IP82" s="559" t="s">
        <v>601</v>
      </c>
      <c r="IQ82" s="583">
        <f>IQ51+IQ52+IQ53+IQ54+IQ55+IQ56</f>
        <v>358.73094200000003</v>
      </c>
      <c r="IR82" s="561">
        <f t="shared" ref="IR82:JH82" si="886">IR51+IR52+IR53+IR54+IR55+IR56</f>
        <v>780.24644799999999</v>
      </c>
      <c r="IS82" s="561">
        <f t="shared" si="886"/>
        <v>1446.4167479999999</v>
      </c>
      <c r="IT82" s="561">
        <f t="shared" si="886"/>
        <v>1695.824893</v>
      </c>
      <c r="IU82" s="561">
        <f t="shared" si="886"/>
        <v>885.18350699999996</v>
      </c>
      <c r="IV82" s="561">
        <f t="shared" si="886"/>
        <v>17831.572725999999</v>
      </c>
      <c r="IW82" s="703">
        <f t="shared" si="886"/>
        <v>553.05820002457381</v>
      </c>
      <c r="IX82" s="704">
        <f t="shared" si="886"/>
        <v>836.77787275965045</v>
      </c>
      <c r="IY82" s="704">
        <f t="shared" si="886"/>
        <v>1448.1578526407729</v>
      </c>
      <c r="IZ82" s="704">
        <f t="shared" si="886"/>
        <v>1774.8414494993756</v>
      </c>
      <c r="JA82" s="704">
        <f t="shared" si="886"/>
        <v>841.70516086382327</v>
      </c>
      <c r="JB82" s="173">
        <f t="shared" si="886"/>
        <v>18267.955500604316</v>
      </c>
      <c r="JC82" s="703">
        <f t="shared" si="886"/>
        <v>476.99764004999804</v>
      </c>
      <c r="JD82" s="704">
        <f t="shared" si="886"/>
        <v>1074.3992634999404</v>
      </c>
      <c r="JE82" s="704">
        <f t="shared" si="886"/>
        <v>1756.92988279664</v>
      </c>
      <c r="JF82" s="704">
        <f t="shared" si="886"/>
        <v>1638.626663420991</v>
      </c>
      <c r="JG82" s="704">
        <f t="shared" si="886"/>
        <v>954.89387279213054</v>
      </c>
      <c r="JH82" s="173">
        <f t="shared" si="886"/>
        <v>19671.208540393811</v>
      </c>
      <c r="JJ82" s="559" t="s">
        <v>601</v>
      </c>
      <c r="JK82" s="583">
        <f t="shared" ref="JK82:JV82" si="887">JK51+JK52+JK53+JK54+JK55+JK56</f>
        <v>1938.1998040000001</v>
      </c>
      <c r="JL82" s="561">
        <f t="shared" si="887"/>
        <v>700.14395500000001</v>
      </c>
      <c r="JM82" s="561">
        <f t="shared" si="887"/>
        <v>2501.329397</v>
      </c>
      <c r="JN82" s="562">
        <f t="shared" si="887"/>
        <v>26.729380999999997</v>
      </c>
      <c r="JO82" s="583">
        <f t="shared" si="887"/>
        <v>2044.8383621086778</v>
      </c>
      <c r="JP82" s="561">
        <f t="shared" si="887"/>
        <v>792.88352450898742</v>
      </c>
      <c r="JQ82" s="561">
        <f t="shared" si="887"/>
        <v>2571.4961830710213</v>
      </c>
      <c r="JR82" s="562">
        <f t="shared" si="887"/>
        <v>45.322466099509668</v>
      </c>
      <c r="JS82" s="583">
        <f t="shared" si="887"/>
        <v>2109.2018265229567</v>
      </c>
      <c r="JT82" s="561">
        <f t="shared" si="887"/>
        <v>1249.8405791846237</v>
      </c>
      <c r="JU82" s="561">
        <f t="shared" si="887"/>
        <v>2517.242894050105</v>
      </c>
      <c r="JV82" s="562">
        <f t="shared" si="887"/>
        <v>25.5620228020192</v>
      </c>
      <c r="JX82" s="559" t="s">
        <v>601</v>
      </c>
      <c r="JY82" s="583">
        <f t="shared" ref="JY82:KB82" si="888">JY51+JY52+JY53+JY54+JY55+JY56</f>
        <v>847.89893607853867</v>
      </c>
      <c r="JZ82" s="561">
        <f t="shared" si="888"/>
        <v>1407.3649904437934</v>
      </c>
      <c r="KA82" s="561">
        <f t="shared" si="888"/>
        <v>1115.3539526445231</v>
      </c>
      <c r="KB82" s="562">
        <f t="shared" si="888"/>
        <v>2531.2294433928437</v>
      </c>
      <c r="KC82" s="604"/>
      <c r="KD82" s="559" t="s">
        <v>601</v>
      </c>
      <c r="KE82" s="583">
        <f t="shared" ref="KE82:KV82" si="889">KE51+KE52+KE53+KE54+KE55+KE56</f>
        <v>16.12908644479386</v>
      </c>
      <c r="KF82" s="561">
        <f t="shared" si="889"/>
        <v>31.917271756561728</v>
      </c>
      <c r="KG82" s="561">
        <f t="shared" si="889"/>
        <v>1802.852343967714</v>
      </c>
      <c r="KH82" s="561">
        <f t="shared" si="889"/>
        <v>1382.511331075254</v>
      </c>
      <c r="KI82" s="561">
        <f t="shared" si="889"/>
        <v>229.67781276640517</v>
      </c>
      <c r="KJ82" s="562">
        <f t="shared" si="889"/>
        <v>749.66335015845016</v>
      </c>
      <c r="KK82" s="583">
        <f t="shared" si="889"/>
        <v>12.924783988435291</v>
      </c>
      <c r="KL82" s="561">
        <f t="shared" si="889"/>
        <v>24.598817222187979</v>
      </c>
      <c r="KM82" s="561">
        <f t="shared" si="889"/>
        <v>975.56600696707278</v>
      </c>
      <c r="KN82" s="561">
        <f t="shared" si="889"/>
        <v>312.57849019435764</v>
      </c>
      <c r="KO82" s="561">
        <f t="shared" si="889"/>
        <v>29.56187326463921</v>
      </c>
      <c r="KP82" s="562">
        <f t="shared" si="889"/>
        <v>106.77470425425598</v>
      </c>
      <c r="KQ82" s="583">
        <f t="shared" si="889"/>
        <v>29.05387043322915</v>
      </c>
      <c r="KR82" s="561">
        <f t="shared" si="889"/>
        <v>60.142316694221762</v>
      </c>
      <c r="KS82" s="561">
        <f t="shared" si="889"/>
        <v>2789.4556190525118</v>
      </c>
      <c r="KT82" s="561">
        <f t="shared" si="889"/>
        <v>1768.2359314664311</v>
      </c>
      <c r="KU82" s="561">
        <f t="shared" si="889"/>
        <v>260.57166582662956</v>
      </c>
      <c r="KV82" s="562">
        <f t="shared" si="889"/>
        <v>858.50052337033094</v>
      </c>
      <c r="KW82" s="429"/>
      <c r="KX82" s="559" t="s">
        <v>601</v>
      </c>
      <c r="KY82" s="583">
        <f t="shared" ref="KY82:LA82" si="890">KY51+KY52+KY53+KY54+KY55+KY56</f>
        <v>1133.382008</v>
      </c>
      <c r="KZ82" s="561">
        <f t="shared" si="890"/>
        <v>3107.4171689999998</v>
      </c>
      <c r="LA82" s="562">
        <f t="shared" si="890"/>
        <v>923.60336399999994</v>
      </c>
      <c r="LB82" s="583">
        <f t="shared" ref="LB82:LD82" si="891">LB51+LB52+LB53+LB54+LB55+LB56</f>
        <v>1465.68151938955</v>
      </c>
      <c r="LC82" s="561">
        <f t="shared" si="891"/>
        <v>2997.1836726350757</v>
      </c>
      <c r="LD82" s="562">
        <f t="shared" si="891"/>
        <v>990.67534454508359</v>
      </c>
      <c r="LE82" s="583">
        <f t="shared" ref="LE82:LG82" si="892">LE51+LE52+LE53+LE54+LE55+LE56</f>
        <v>1384.823073481311</v>
      </c>
      <c r="LF82" s="561">
        <f t="shared" si="892"/>
        <v>3476.6156454914139</v>
      </c>
      <c r="LG82" s="562">
        <f t="shared" si="892"/>
        <v>1046.408609679278</v>
      </c>
      <c r="LH82" s="426"/>
      <c r="LI82" s="559" t="s">
        <v>601</v>
      </c>
      <c r="LJ82" s="583">
        <f t="shared" ref="LJ82:MA82" si="893">LJ51+LJ52+LJ53+LJ54+LJ55+LJ56</f>
        <v>4797.9428699999999</v>
      </c>
      <c r="LK82" s="561">
        <f t="shared" si="893"/>
        <v>4146.2494099999994</v>
      </c>
      <c r="LL82" s="561">
        <f t="shared" si="893"/>
        <v>651.69345900000008</v>
      </c>
      <c r="LM82" s="561">
        <f t="shared" si="893"/>
        <v>650.4967640000001</v>
      </c>
      <c r="LN82" s="561">
        <f t="shared" si="893"/>
        <v>494.61200200000002</v>
      </c>
      <c r="LO82" s="562">
        <f t="shared" si="893"/>
        <v>380.56538699999999</v>
      </c>
      <c r="LP82" s="583">
        <f t="shared" si="893"/>
        <v>5098.4598998179063</v>
      </c>
      <c r="LQ82" s="561">
        <f t="shared" si="893"/>
        <v>4196.6447782128535</v>
      </c>
      <c r="LR82" s="561">
        <f t="shared" si="893"/>
        <v>901.81512160505326</v>
      </c>
      <c r="LS82" s="561">
        <f t="shared" si="893"/>
        <v>559.46436599040351</v>
      </c>
      <c r="LT82" s="561">
        <f t="shared" si="893"/>
        <v>395.18402889844936</v>
      </c>
      <c r="LU82" s="562">
        <f t="shared" si="893"/>
        <v>363.87726617044325</v>
      </c>
      <c r="LV82" s="583">
        <f t="shared" si="893"/>
        <v>5351.6214615999115</v>
      </c>
      <c r="LW82" s="561">
        <f t="shared" si="893"/>
        <v>4471.7173074946004</v>
      </c>
      <c r="LX82" s="561">
        <f t="shared" si="893"/>
        <v>879.90415410530568</v>
      </c>
      <c r="LY82" s="561">
        <f t="shared" si="893"/>
        <v>578.54947642950378</v>
      </c>
      <c r="LZ82" s="561">
        <f t="shared" si="893"/>
        <v>373.986685001708</v>
      </c>
      <c r="MA82" s="562">
        <f t="shared" si="893"/>
        <v>572.36600375212197</v>
      </c>
      <c r="MC82" s="559" t="s">
        <v>601</v>
      </c>
      <c r="MD82" s="583">
        <f t="shared" ref="MD82:MU82" si="894">MD51+MD52+MD53+MD54+MD55+MD56</f>
        <v>3.8074859999999999</v>
      </c>
      <c r="ME82" s="561">
        <f t="shared" si="894"/>
        <v>104.61951699999999</v>
      </c>
      <c r="MF82" s="561">
        <f t="shared" si="894"/>
        <v>191.20325</v>
      </c>
      <c r="MG82" s="561">
        <f t="shared" si="894"/>
        <v>862.81792399999995</v>
      </c>
      <c r="MH82" s="561">
        <f t="shared" si="894"/>
        <v>1555.3650090000001</v>
      </c>
      <c r="MI82" s="562">
        <f t="shared" si="894"/>
        <v>1428.436228</v>
      </c>
      <c r="MJ82" s="583">
        <f t="shared" si="894"/>
        <v>0</v>
      </c>
      <c r="MK82" s="561">
        <f t="shared" si="894"/>
        <v>109.33869885173957</v>
      </c>
      <c r="ML82" s="561">
        <f t="shared" si="894"/>
        <v>307.91815967946224</v>
      </c>
      <c r="MM82" s="561">
        <f t="shared" si="894"/>
        <v>909.42519706646624</v>
      </c>
      <c r="MN82" s="561">
        <f t="shared" si="894"/>
        <v>1546.3310818691498</v>
      </c>
      <c r="MO82" s="562">
        <f t="shared" si="894"/>
        <v>1308.6316524687268</v>
      </c>
      <c r="MP82" s="583">
        <f t="shared" si="894"/>
        <v>0</v>
      </c>
      <c r="MQ82" s="561">
        <f t="shared" si="894"/>
        <v>140.6770455891818</v>
      </c>
      <c r="MR82" s="561">
        <f t="shared" si="894"/>
        <v>410.57897347699839</v>
      </c>
      <c r="MS82" s="561">
        <f t="shared" si="894"/>
        <v>1088.8937378340256</v>
      </c>
      <c r="MT82" s="561">
        <f t="shared" si="894"/>
        <v>1718.421946506445</v>
      </c>
      <c r="MU82" s="562">
        <f t="shared" si="894"/>
        <v>1116.1456071341054</v>
      </c>
      <c r="MW82" s="559" t="s">
        <v>601</v>
      </c>
      <c r="MX82" s="583">
        <f t="shared" ref="MX82:NF82" si="895">MX51+MX52+MX53+MX54+MX55+MX56</f>
        <v>4174.8777920000002</v>
      </c>
      <c r="MY82" s="561">
        <f t="shared" si="895"/>
        <v>3992.1557740000003</v>
      </c>
      <c r="MZ82" s="561">
        <f t="shared" si="895"/>
        <v>182.72201800000002</v>
      </c>
      <c r="NA82" s="583">
        <f t="shared" si="895"/>
        <v>4221.5054191376566</v>
      </c>
      <c r="NB82" s="561">
        <f t="shared" si="895"/>
        <v>3991.9611411820324</v>
      </c>
      <c r="NC82" s="562">
        <f t="shared" si="895"/>
        <v>229.54427795562472</v>
      </c>
      <c r="ND82" s="583">
        <f t="shared" si="895"/>
        <v>4533.004944188493</v>
      </c>
      <c r="NE82" s="561">
        <f t="shared" si="895"/>
        <v>4275.882962051729</v>
      </c>
      <c r="NF82" s="562">
        <f t="shared" si="895"/>
        <v>257.12198213676436</v>
      </c>
      <c r="NH82" s="559" t="s">
        <v>601</v>
      </c>
      <c r="NI82" s="583">
        <f t="shared" ref="NI82:NR82" si="896">NI51+NI52+NI53+NI54+NI55+NI56</f>
        <v>3295.6689881003144</v>
      </c>
      <c r="NJ82" s="562">
        <f t="shared" si="896"/>
        <v>696.29215308171786</v>
      </c>
      <c r="NK82" s="583">
        <f t="shared" si="896"/>
        <v>179.07442816350479</v>
      </c>
      <c r="NL82" s="561">
        <f t="shared" si="896"/>
        <v>47.24840085061588</v>
      </c>
      <c r="NM82" s="562">
        <f t="shared" si="896"/>
        <v>3.2214489415040299</v>
      </c>
      <c r="NN82" s="583">
        <f t="shared" si="896"/>
        <v>3549.388859787085</v>
      </c>
      <c r="NO82" s="562">
        <f t="shared" si="896"/>
        <v>726.49410226463942</v>
      </c>
      <c r="NP82" s="583">
        <f t="shared" si="896"/>
        <v>177.4014947922312</v>
      </c>
      <c r="NQ82" s="561">
        <f t="shared" si="896"/>
        <v>72.788869180779116</v>
      </c>
      <c r="NR82" s="562">
        <f t="shared" si="896"/>
        <v>6.93161816375427</v>
      </c>
      <c r="NS82" s="136"/>
      <c r="NT82" s="559" t="s">
        <v>601</v>
      </c>
      <c r="NU82" s="583">
        <f t="shared" ref="NU82:OB82" si="897">NU51+NU52+NU53+NU54+NU55+NU56</f>
        <v>469.48146545366876</v>
      </c>
      <c r="NV82" s="561">
        <f t="shared" si="897"/>
        <v>52.172101279367801</v>
      </c>
      <c r="NW82" s="561">
        <f t="shared" si="897"/>
        <v>28.658793587300124</v>
      </c>
      <c r="NX82" s="562">
        <f t="shared" si="897"/>
        <v>145.97979276138119</v>
      </c>
      <c r="NY82" s="583">
        <f t="shared" si="897"/>
        <v>462.98318497671301</v>
      </c>
      <c r="NZ82" s="561">
        <f t="shared" si="897"/>
        <v>109.42831817155734</v>
      </c>
      <c r="OA82" s="561">
        <f t="shared" si="897"/>
        <v>16.060679438773811</v>
      </c>
      <c r="OB82" s="562">
        <f t="shared" si="897"/>
        <v>138.02191967759532</v>
      </c>
      <c r="OC82" s="553"/>
      <c r="OD82" s="559" t="s">
        <v>601</v>
      </c>
      <c r="OE82" s="583">
        <f t="shared" ref="OE82:OR82" si="898">OE51+OE52+OE53+OE54+OE55+OE56</f>
        <v>327.35000826972674</v>
      </c>
      <c r="OF82" s="561">
        <f t="shared" si="898"/>
        <v>535.87358642502625</v>
      </c>
      <c r="OG82" s="561">
        <f t="shared" si="898"/>
        <v>395.64688273792763</v>
      </c>
      <c r="OH82" s="561">
        <f t="shared" si="898"/>
        <v>322.01999034416718</v>
      </c>
      <c r="OI82" s="561">
        <f t="shared" si="898"/>
        <v>418.13530212625363</v>
      </c>
      <c r="OJ82" s="561">
        <f t="shared" si="898"/>
        <v>74.422184765674672</v>
      </c>
      <c r="OK82" s="562">
        <f t="shared" si="898"/>
        <v>93.392022809866447</v>
      </c>
      <c r="OL82" s="583">
        <f t="shared" si="898"/>
        <v>521.64217003267208</v>
      </c>
      <c r="OM82" s="561">
        <f t="shared" si="898"/>
        <v>556.00071007903966</v>
      </c>
      <c r="ON82" s="561">
        <f t="shared" si="898"/>
        <v>405.03068957989962</v>
      </c>
      <c r="OO82" s="561">
        <f t="shared" si="898"/>
        <v>344.34335946546298</v>
      </c>
      <c r="OP82" s="561">
        <f t="shared" si="898"/>
        <v>1084.6531192488289</v>
      </c>
      <c r="OQ82" s="561">
        <f t="shared" si="898"/>
        <v>812.41747957748873</v>
      </c>
      <c r="OR82" s="562">
        <f t="shared" si="898"/>
        <v>7049.4822703928021</v>
      </c>
      <c r="OT82" s="559" t="s">
        <v>601</v>
      </c>
      <c r="OU82" s="583">
        <f t="shared" ref="OU82:PF82" si="899">OU51+OU52+OU53+OU54+OU55+OU56</f>
        <v>3382.2199519999999</v>
      </c>
      <c r="OV82" s="561">
        <f t="shared" si="899"/>
        <v>2310.3364109999998</v>
      </c>
      <c r="OW82" s="561">
        <f t="shared" si="899"/>
        <v>1078.2405959999999</v>
      </c>
      <c r="OX82" s="562">
        <f t="shared" si="899"/>
        <v>981.11141699999996</v>
      </c>
      <c r="OY82" s="583">
        <f t="shared" si="899"/>
        <v>3237.5264738549208</v>
      </c>
      <c r="OZ82" s="561">
        <f t="shared" si="899"/>
        <v>2307.3589962851033</v>
      </c>
      <c r="PA82" s="561">
        <f t="shared" si="899"/>
        <v>1210.9302795990686</v>
      </c>
      <c r="PB82" s="562">
        <f t="shared" si="899"/>
        <v>1266.0652095177188</v>
      </c>
      <c r="PC82" s="583">
        <f t="shared" si="899"/>
        <v>2974.7856027230318</v>
      </c>
      <c r="PD82" s="561">
        <f t="shared" si="899"/>
        <v>2317.8748284404601</v>
      </c>
      <c r="PE82" s="561">
        <f t="shared" si="899"/>
        <v>1333.4058928603049</v>
      </c>
      <c r="PF82" s="562">
        <f t="shared" si="899"/>
        <v>1756.8604046148184</v>
      </c>
      <c r="PH82" s="559" t="s">
        <v>601</v>
      </c>
      <c r="PI82" s="583">
        <f t="shared" ref="PI82:PP82" si="900">PI51+PI52+PI53+PI54+PI55+PI56</f>
        <v>1156.0239595099181</v>
      </c>
      <c r="PJ82" s="561">
        <f t="shared" si="900"/>
        <v>1212.921322144676</v>
      </c>
      <c r="PK82" s="561">
        <f t="shared" si="900"/>
        <v>611.64623476379791</v>
      </c>
      <c r="PL82" s="562">
        <f t="shared" si="900"/>
        <v>792.41027151510139</v>
      </c>
      <c r="PM82" s="583">
        <f t="shared" si="900"/>
        <v>1818.7616432131153</v>
      </c>
      <c r="PN82" s="561">
        <f t="shared" si="900"/>
        <v>1104.9535062957821</v>
      </c>
      <c r="PO82" s="561">
        <f t="shared" si="900"/>
        <v>721.75965809650631</v>
      </c>
      <c r="PP82" s="562">
        <f t="shared" si="900"/>
        <v>964.45013309971671</v>
      </c>
      <c r="PQ82" s="65"/>
      <c r="PR82" s="563" t="s">
        <v>601</v>
      </c>
      <c r="PS82" s="1038">
        <f t="shared" ref="PS82:PW82" si="901">PS51+PS52+PS53+PS54+PS55+PS56</f>
        <v>114.27960964028894</v>
      </c>
      <c r="PT82" s="1039">
        <f t="shared" si="901"/>
        <v>247.84420986519666</v>
      </c>
      <c r="PU82" s="1039">
        <f t="shared" si="901"/>
        <v>135.88154508334401</v>
      </c>
      <c r="PV82" s="1039">
        <f t="shared" si="901"/>
        <v>80.67787973375701</v>
      </c>
      <c r="PW82" s="1039">
        <f t="shared" si="901"/>
        <v>2910.8492192615286</v>
      </c>
      <c r="PX82" s="1040">
        <f t="shared" ref="PX82" si="902">PX51+PX52+PX53+PX54+PX55+PX56</f>
        <v>1046.47248365053</v>
      </c>
      <c r="PZ82" s="563" t="s">
        <v>601</v>
      </c>
      <c r="QA82" s="1038">
        <f t="shared" ref="QA82:QF82" si="903">QA51+QA52+QA53+QA54+QA55+QA56</f>
        <v>2800.2241131959527</v>
      </c>
      <c r="QB82" s="1039">
        <f t="shared" si="903"/>
        <v>1732.7808309925381</v>
      </c>
      <c r="QC82" s="1039">
        <f t="shared" si="903"/>
        <v>1498.342609537832</v>
      </c>
      <c r="QD82" s="1039">
        <f t="shared" ref="QD82" si="904">QD51+QD52+QD53+QD54+QD55+QD56</f>
        <v>64.35609359382687</v>
      </c>
      <c r="QE82" s="1039">
        <f t="shared" si="903"/>
        <v>165.53670024887114</v>
      </c>
      <c r="QF82" s="1040">
        <f t="shared" si="903"/>
        <v>4.5454276120096901</v>
      </c>
    </row>
    <row r="83" spans="1:448" ht="13.5" customHeight="1">
      <c r="A83" s="136"/>
      <c r="B83" s="559" t="s">
        <v>602</v>
      </c>
      <c r="C83" s="621">
        <f t="shared" ref="C83" si="905">C57+C58+C59</f>
        <v>3381.8144229999998</v>
      </c>
      <c r="D83" s="621">
        <f t="shared" ref="D83:E83" si="906">D57+D58+D59</f>
        <v>3333.1276469662353</v>
      </c>
      <c r="E83" s="622">
        <f t="shared" si="906"/>
        <v>3330.4567695674841</v>
      </c>
      <c r="F83" s="136"/>
      <c r="G83" s="559" t="s">
        <v>602</v>
      </c>
      <c r="H83" s="684">
        <f t="shared" si="447"/>
        <v>-2.8960544181870773E-3</v>
      </c>
      <c r="I83" s="671">
        <f t="shared" si="448"/>
        <v>-1.6031392594062499E-4</v>
      </c>
      <c r="J83" s="685"/>
      <c r="K83" s="63"/>
      <c r="L83" s="559" t="s">
        <v>602</v>
      </c>
      <c r="M83" s="624">
        <f t="shared" ref="M83:T83" si="907">M57+M58+M59</f>
        <v>22</v>
      </c>
      <c r="N83" s="621">
        <f t="shared" si="907"/>
        <v>36</v>
      </c>
      <c r="O83" s="621">
        <f t="shared" si="907"/>
        <v>26</v>
      </c>
      <c r="P83" s="621">
        <f t="shared" si="907"/>
        <v>22</v>
      </c>
      <c r="Q83" s="621">
        <f t="shared" si="907"/>
        <v>31</v>
      </c>
      <c r="R83" s="621">
        <f t="shared" si="907"/>
        <v>23</v>
      </c>
      <c r="S83" s="621">
        <f t="shared" si="907"/>
        <v>38</v>
      </c>
      <c r="T83" s="621">
        <f t="shared" si="907"/>
        <v>29</v>
      </c>
      <c r="U83" s="621">
        <f t="shared" ref="U83:V83" si="908">U57+U58+U59</f>
        <v>28</v>
      </c>
      <c r="V83" s="621">
        <f t="shared" si="908"/>
        <v>27</v>
      </c>
      <c r="W83" s="622">
        <f t="shared" ref="W83" si="909">W57+W58+W59</f>
        <v>27</v>
      </c>
      <c r="X83" s="559" t="s">
        <v>602</v>
      </c>
      <c r="Y83" s="624">
        <f t="shared" ref="Y83:AB83" si="910">Y57+Y58+Y59</f>
        <v>29</v>
      </c>
      <c r="Z83" s="621">
        <f t="shared" si="910"/>
        <v>24</v>
      </c>
      <c r="AA83" s="621">
        <f t="shared" si="910"/>
        <v>27</v>
      </c>
      <c r="AB83" s="663">
        <f t="shared" si="910"/>
        <v>33.5</v>
      </c>
      <c r="AC83" s="1207">
        <f t="shared" ref="AC83" si="911">AC57+AC58+AC59</f>
        <v>33.5</v>
      </c>
      <c r="AD83" s="676">
        <f t="shared" si="98"/>
        <v>-0.17241379310344829</v>
      </c>
      <c r="AE83" s="676">
        <f t="shared" si="99"/>
        <v>0.125</v>
      </c>
      <c r="AF83" s="676">
        <f t="shared" si="100"/>
        <v>0.24074074074074073</v>
      </c>
      <c r="AG83" s="1218">
        <f t="shared" si="101"/>
        <v>0</v>
      </c>
      <c r="AN83" s="559" t="s">
        <v>602</v>
      </c>
      <c r="AO83" s="624">
        <f t="shared" ref="AO83:AV83" si="912">AO57+AO58+AO59</f>
        <v>0</v>
      </c>
      <c r="AP83" s="621">
        <f t="shared" si="912"/>
        <v>47.858171999999996</v>
      </c>
      <c r="AQ83" s="621">
        <f t="shared" si="912"/>
        <v>144.42378400000001</v>
      </c>
      <c r="AR83" s="621">
        <f t="shared" si="912"/>
        <v>416.82443699999999</v>
      </c>
      <c r="AS83" s="621">
        <f t="shared" si="912"/>
        <v>548.63595899999996</v>
      </c>
      <c r="AT83" s="621">
        <f t="shared" si="912"/>
        <v>356.37398400000001</v>
      </c>
      <c r="AU83" s="621">
        <f t="shared" si="912"/>
        <v>849.44365500000004</v>
      </c>
      <c r="AV83" s="622">
        <f t="shared" si="912"/>
        <v>486.65978199999995</v>
      </c>
      <c r="AW83" s="624">
        <f t="shared" ref="AW83:BD83" si="913">AW57+AW58+AW59</f>
        <v>0</v>
      </c>
      <c r="AX83" s="621">
        <f t="shared" si="913"/>
        <v>49.475294356089414</v>
      </c>
      <c r="AY83" s="621">
        <f t="shared" si="913"/>
        <v>144.03553435982613</v>
      </c>
      <c r="AZ83" s="621">
        <f t="shared" si="913"/>
        <v>352.88340138172396</v>
      </c>
      <c r="BA83" s="621">
        <f t="shared" si="913"/>
        <v>450.11056307063529</v>
      </c>
      <c r="BB83" s="621">
        <f t="shared" si="913"/>
        <v>396.40540215290537</v>
      </c>
      <c r="BC83" s="621">
        <f t="shared" si="913"/>
        <v>1124.3306993697306</v>
      </c>
      <c r="BD83" s="622">
        <f t="shared" si="913"/>
        <v>309.22282189687832</v>
      </c>
      <c r="BE83" s="624">
        <f t="shared" ref="BE83:BL83" si="914">BE57+BE58+BE59</f>
        <v>0</v>
      </c>
      <c r="BF83" s="621">
        <f t="shared" si="914"/>
        <v>48.097011491905704</v>
      </c>
      <c r="BG83" s="621">
        <f t="shared" si="914"/>
        <v>140.53848480579509</v>
      </c>
      <c r="BH83" s="621">
        <f t="shared" si="914"/>
        <v>340.90516726797199</v>
      </c>
      <c r="BI83" s="621">
        <f t="shared" si="914"/>
        <v>480.83010832110978</v>
      </c>
      <c r="BJ83" s="621">
        <f t="shared" si="914"/>
        <v>268.64282987230058</v>
      </c>
      <c r="BK83" s="621">
        <f t="shared" si="914"/>
        <v>1208.1474802740454</v>
      </c>
      <c r="BL83" s="622">
        <f t="shared" si="914"/>
        <v>375.59512682717389</v>
      </c>
      <c r="BN83" s="559" t="s">
        <v>602</v>
      </c>
      <c r="BO83" s="624">
        <f t="shared" ref="BO83:BT83" si="915">BO57+BO58+BO59</f>
        <v>540.59463600000004</v>
      </c>
      <c r="BP83" s="621">
        <f t="shared" si="915"/>
        <v>653.19559800000002</v>
      </c>
      <c r="BQ83" s="621">
        <f t="shared" si="915"/>
        <v>553.49696200000005</v>
      </c>
      <c r="BR83" s="621">
        <f t="shared" si="915"/>
        <v>807.85840500000006</v>
      </c>
      <c r="BS83" s="621">
        <f t="shared" si="915"/>
        <v>648.39978500000007</v>
      </c>
      <c r="BT83" s="622">
        <f t="shared" si="915"/>
        <v>178.269037</v>
      </c>
      <c r="BU83" s="624">
        <f t="shared" ref="BU83:BZ83" si="916">BU57+BU58+BU59</f>
        <v>501.66393428600986</v>
      </c>
      <c r="BV83" s="621">
        <f t="shared" si="916"/>
        <v>529.25025208464376</v>
      </c>
      <c r="BW83" s="621">
        <f t="shared" si="916"/>
        <v>478.57253621436877</v>
      </c>
      <c r="BX83" s="621">
        <f t="shared" si="916"/>
        <v>639.21807145369246</v>
      </c>
      <c r="BY83" s="621">
        <f t="shared" si="916"/>
        <v>832.19902203211473</v>
      </c>
      <c r="BZ83" s="622">
        <f t="shared" si="916"/>
        <v>352.2238308954058</v>
      </c>
      <c r="CA83" s="624">
        <f t="shared" ref="CA83:CF83" si="917">CA57+CA58+CA59</f>
        <v>459.70055258409957</v>
      </c>
      <c r="CB83" s="621">
        <f t="shared" si="917"/>
        <v>519.85810772292393</v>
      </c>
      <c r="CC83" s="621">
        <f t="shared" si="917"/>
        <v>486.41937023370178</v>
      </c>
      <c r="CD83" s="621">
        <f t="shared" si="917"/>
        <v>588.57825105004702</v>
      </c>
      <c r="CE83" s="621">
        <f t="shared" si="917"/>
        <v>838.73457295021137</v>
      </c>
      <c r="CF83" s="622">
        <f t="shared" si="917"/>
        <v>437.16591502649771</v>
      </c>
      <c r="CG83" s="429"/>
      <c r="CH83" s="559" t="s">
        <v>602</v>
      </c>
      <c r="CI83" s="583">
        <f t="shared" ref="CI83:CK83" si="918">CI57+CI58+CI59</f>
        <v>882.77555899999993</v>
      </c>
      <c r="CJ83" s="561">
        <f t="shared" si="918"/>
        <v>2001.551301</v>
      </c>
      <c r="CK83" s="561">
        <f t="shared" si="918"/>
        <v>497.48756399999996</v>
      </c>
      <c r="CL83" s="583">
        <f t="shared" ref="CL83:CN83" si="919">CL57+CL58+CL59</f>
        <v>743.49774663172298</v>
      </c>
      <c r="CM83" s="561">
        <f t="shared" si="919"/>
        <v>1739.1077999746631</v>
      </c>
      <c r="CN83" s="561">
        <f t="shared" si="919"/>
        <v>850.52210035984922</v>
      </c>
      <c r="CO83" s="583">
        <f t="shared" ref="CO83:CQ83" si="920">CO57+CO58+CO59</f>
        <v>699.37764473142897</v>
      </c>
      <c r="CP83" s="561">
        <f t="shared" si="920"/>
        <v>1586.5608612607809</v>
      </c>
      <c r="CQ83" s="562">
        <f t="shared" si="920"/>
        <v>1044.5182635752672</v>
      </c>
      <c r="CR83" s="429"/>
      <c r="DG83" s="559" t="s">
        <v>602</v>
      </c>
      <c r="DH83" s="829"/>
      <c r="DI83" s="830"/>
      <c r="DJ83" s="830"/>
      <c r="DK83" s="830"/>
      <c r="DL83" s="830"/>
      <c r="DM83" s="831"/>
      <c r="DO83" s="559" t="s">
        <v>602</v>
      </c>
      <c r="DP83" s="706">
        <f t="shared" ref="DP83:DR83" si="921">DP57+DP58+DP59</f>
        <v>1424.6701680000001</v>
      </c>
      <c r="DQ83" s="621">
        <f t="shared" si="921"/>
        <v>1478.3523090895162</v>
      </c>
      <c r="DR83" s="622">
        <f t="shared" si="921"/>
        <v>1572.9532562569523</v>
      </c>
      <c r="DS83" s="63"/>
      <c r="DT83" s="559" t="s">
        <v>602</v>
      </c>
      <c r="DU83" s="624">
        <f t="shared" ref="DU83:DW83" si="922">DU57+DU58+DU59</f>
        <v>3294.8145289999998</v>
      </c>
      <c r="DV83" s="621">
        <f t="shared" si="922"/>
        <v>3274.1276930754866</v>
      </c>
      <c r="DW83" s="622">
        <f t="shared" si="922"/>
        <v>3277.4567157520742</v>
      </c>
      <c r="DX83" s="63"/>
      <c r="DY83" s="559" t="s">
        <v>602</v>
      </c>
      <c r="DZ83" s="1093">
        <f t="shared" si="410"/>
        <v>2.3126858433663782</v>
      </c>
      <c r="EA83" s="798">
        <f t="shared" si="411"/>
        <v>2.214714092807788</v>
      </c>
      <c r="EB83" s="799">
        <f t="shared" si="412"/>
        <v>2.0836326208136726</v>
      </c>
      <c r="ED83" s="541"/>
      <c r="EE83" s="559" t="s">
        <v>602</v>
      </c>
      <c r="EF83" s="624">
        <f t="shared" ref="EF83:EJ83" si="923">EF57+EF58+EF59</f>
        <v>386.90326699999997</v>
      </c>
      <c r="EG83" s="621">
        <f t="shared" si="923"/>
        <v>15.045026</v>
      </c>
      <c r="EH83" s="621">
        <f t="shared" si="923"/>
        <v>504.90654000000001</v>
      </c>
      <c r="EI83" s="621">
        <f t="shared" si="923"/>
        <v>367.81733199999996</v>
      </c>
      <c r="EJ83" s="621">
        <f t="shared" si="923"/>
        <v>149.99800099999999</v>
      </c>
      <c r="EK83" s="624">
        <f t="shared" ref="EK83:EO83" si="924">EK57+EK58+EK59</f>
        <v>406.5772919273968</v>
      </c>
      <c r="EL83" s="621">
        <f t="shared" si="924"/>
        <v>21.17112496788182</v>
      </c>
      <c r="EM83" s="621">
        <f t="shared" si="924"/>
        <v>582.51369047896651</v>
      </c>
      <c r="EN83" s="621">
        <f t="shared" si="924"/>
        <v>333.0488333763746</v>
      </c>
      <c r="EO83" s="621">
        <f t="shared" si="924"/>
        <v>135.04136833889652</v>
      </c>
      <c r="EP83" s="624">
        <f t="shared" ref="EP83:ET83" si="925">EP57+EP58+EP59</f>
        <v>533.6349967622707</v>
      </c>
      <c r="EQ83" s="621">
        <f t="shared" si="925"/>
        <v>16.464112793833639</v>
      </c>
      <c r="ER83" s="621">
        <f t="shared" si="925"/>
        <v>584.39986729316786</v>
      </c>
      <c r="ES83" s="621">
        <f t="shared" si="925"/>
        <v>309.02687038096872</v>
      </c>
      <c r="ET83" s="622">
        <f t="shared" si="925"/>
        <v>129.42740902671164</v>
      </c>
      <c r="EV83" s="559" t="s">
        <v>602</v>
      </c>
      <c r="EW83" s="624">
        <f t="shared" ref="EW83:FD83" si="926">EW57+EW58+EW59</f>
        <v>22.804542000000001</v>
      </c>
      <c r="EX83" s="621">
        <f t="shared" si="926"/>
        <v>154.54439500000001</v>
      </c>
      <c r="EY83" s="621">
        <f t="shared" si="926"/>
        <v>171.50483799999998</v>
      </c>
      <c r="EZ83" s="621">
        <f t="shared" si="926"/>
        <v>36.049495</v>
      </c>
      <c r="FA83" s="624">
        <f t="shared" si="926"/>
        <v>437.64216600000003</v>
      </c>
      <c r="FB83" s="621">
        <f t="shared" si="926"/>
        <v>1181.3688589999999</v>
      </c>
      <c r="FC83" s="621">
        <f t="shared" si="926"/>
        <v>1065.428772</v>
      </c>
      <c r="FD83" s="621">
        <f t="shared" si="926"/>
        <v>69.780096</v>
      </c>
      <c r="FE83" s="624">
        <f t="shared" ref="FE83:FL83" si="927">FE57+FE58+FE59</f>
        <v>36.089009450590659</v>
      </c>
      <c r="FF83" s="621">
        <f t="shared" si="927"/>
        <v>79.459102633488229</v>
      </c>
      <c r="FG83" s="621">
        <f t="shared" si="927"/>
        <v>216.25133555062979</v>
      </c>
      <c r="FH83" s="622">
        <f t="shared" si="927"/>
        <v>73.777845074200911</v>
      </c>
      <c r="FI83" s="624">
        <f t="shared" si="927"/>
        <v>364.94382247779356</v>
      </c>
      <c r="FJ83" s="621">
        <f t="shared" si="927"/>
        <v>978.35394311025129</v>
      </c>
      <c r="FK83" s="621">
        <f t="shared" si="927"/>
        <v>1259.4827549102208</v>
      </c>
      <c r="FL83" s="622">
        <f t="shared" si="927"/>
        <v>169.68323829121096</v>
      </c>
      <c r="FM83" s="705">
        <f t="shared" ref="FM83:FT83" si="928">FM57+FM58+FM59</f>
        <v>49.407195334510199</v>
      </c>
      <c r="FN83" s="706">
        <f t="shared" si="928"/>
        <v>125.5468749991101</v>
      </c>
      <c r="FO83" s="706">
        <f t="shared" si="928"/>
        <v>248.09050811160068</v>
      </c>
      <c r="FP83" s="618">
        <f t="shared" si="928"/>
        <v>109.59041730166369</v>
      </c>
      <c r="FQ83" s="705">
        <f t="shared" si="928"/>
        <v>343.67054942752873</v>
      </c>
      <c r="FR83" s="706">
        <f t="shared" si="928"/>
        <v>976.03597068349984</v>
      </c>
      <c r="FS83" s="706">
        <f t="shared" si="928"/>
        <v>1260.4540614388434</v>
      </c>
      <c r="FT83" s="618">
        <f t="shared" si="928"/>
        <v>241.59558567964459</v>
      </c>
      <c r="FV83" s="559" t="s">
        <v>602</v>
      </c>
      <c r="FW83" s="624">
        <f t="shared" ref="FW83:GH83" si="929">FW57+FW58+FW59</f>
        <v>533.37565800000004</v>
      </c>
      <c r="FX83" s="621">
        <f t="shared" si="929"/>
        <v>207.04399699999999</v>
      </c>
      <c r="FY83" s="621">
        <f t="shared" si="929"/>
        <v>203.91637900000001</v>
      </c>
      <c r="FZ83" s="622">
        <f t="shared" si="929"/>
        <v>84.467176999999992</v>
      </c>
      <c r="GA83" s="624">
        <f t="shared" si="929"/>
        <v>636.10515457917768</v>
      </c>
      <c r="GB83" s="621">
        <f t="shared" si="929"/>
        <v>148.67508513174946</v>
      </c>
      <c r="GC83" s="621">
        <f t="shared" si="929"/>
        <v>193.93001894139837</v>
      </c>
      <c r="GD83" s="622">
        <f t="shared" si="929"/>
        <v>71.893633541912166</v>
      </c>
      <c r="GE83" s="624">
        <f t="shared" si="929"/>
        <v>633.75059841355358</v>
      </c>
      <c r="GF83" s="621">
        <f t="shared" si="929"/>
        <v>165.06009541048678</v>
      </c>
      <c r="GG83" s="621">
        <f t="shared" si="929"/>
        <v>152.40621542310009</v>
      </c>
      <c r="GH83" s="622">
        <f t="shared" si="929"/>
        <v>71.637237453707201</v>
      </c>
      <c r="GJ83" s="559" t="s">
        <v>602</v>
      </c>
      <c r="GK83" s="621">
        <f t="shared" ref="GK83:GM83" si="930">GK57+GK58+GK59</f>
        <v>1445.4982649999999</v>
      </c>
      <c r="GL83" s="621">
        <f t="shared" si="930"/>
        <v>1551.4988454294589</v>
      </c>
      <c r="GM83" s="622">
        <f t="shared" si="930"/>
        <v>1669.5015981669333</v>
      </c>
      <c r="GO83" s="559" t="s">
        <v>602</v>
      </c>
      <c r="GP83" s="624">
        <f t="shared" ref="GP83:GX83" si="931">GP57+GP58+GP59</f>
        <v>1422.670171</v>
      </c>
      <c r="GQ83" s="621">
        <f t="shared" si="931"/>
        <v>3.9250949999999998</v>
      </c>
      <c r="GR83" s="622">
        <f t="shared" si="931"/>
        <v>18.902998</v>
      </c>
      <c r="GS83" s="624">
        <f t="shared" si="931"/>
        <v>1477.3523098710289</v>
      </c>
      <c r="GT83" s="621">
        <f t="shared" si="931"/>
        <v>0</v>
      </c>
      <c r="GU83" s="622">
        <f t="shared" si="931"/>
        <v>74.146535558429918</v>
      </c>
      <c r="GV83" s="624">
        <f t="shared" si="931"/>
        <v>1573.9532572723372</v>
      </c>
      <c r="GW83" s="621">
        <f t="shared" si="931"/>
        <v>13.320602653498199</v>
      </c>
      <c r="GX83" s="622">
        <f t="shared" si="931"/>
        <v>82.227738241099502</v>
      </c>
      <c r="GZ83" s="559" t="s">
        <v>602</v>
      </c>
      <c r="HA83" s="624">
        <f t="shared" ref="HA83:HI83" si="932">HA57+HA58+HA59</f>
        <v>1099.493553</v>
      </c>
      <c r="HB83" s="621">
        <f t="shared" si="932"/>
        <v>345.12028700000002</v>
      </c>
      <c r="HC83" s="622">
        <f t="shared" si="932"/>
        <v>0.88442499999996471</v>
      </c>
      <c r="HD83" s="624">
        <f t="shared" si="932"/>
        <v>1287.8612534158428</v>
      </c>
      <c r="HE83" s="621">
        <f t="shared" si="932"/>
        <v>263.63759201361614</v>
      </c>
      <c r="HF83" s="622">
        <f t="shared" si="932"/>
        <v>0</v>
      </c>
      <c r="HG83" s="624">
        <f t="shared" si="932"/>
        <v>1336.5065379852895</v>
      </c>
      <c r="HH83" s="621">
        <f t="shared" si="932"/>
        <v>332.99506018164516</v>
      </c>
      <c r="HI83" s="622">
        <f t="shared" si="932"/>
        <v>0</v>
      </c>
      <c r="HK83" s="559" t="s">
        <v>602</v>
      </c>
      <c r="HL83" s="561">
        <f t="shared" ref="HL83:HO83" si="933">HL57+HL58+HL59</f>
        <v>1422.670171</v>
      </c>
      <c r="HM83" s="561">
        <f t="shared" ref="HM83" si="934">HM57+HM58+HM59</f>
        <v>6041.2123190000002</v>
      </c>
      <c r="HN83" s="779">
        <f t="shared" si="477"/>
        <v>4.2463899518984149</v>
      </c>
      <c r="HO83" s="583">
        <f t="shared" si="933"/>
        <v>1477.3523098710289</v>
      </c>
      <c r="HP83" s="561">
        <f t="shared" ref="HP83" si="935">HP57+HP58+HP59</f>
        <v>6300.704622577181</v>
      </c>
      <c r="HQ83" s="779">
        <f t="shared" si="479"/>
        <v>4.2648626062169459</v>
      </c>
      <c r="HR83" s="561">
        <f>HR57+HR58+HR59</f>
        <v>1573.9532572723372</v>
      </c>
      <c r="HS83" s="561">
        <f>HS57+HS58+HS59</f>
        <v>6636.1920394580802</v>
      </c>
      <c r="HT83" s="784">
        <f t="shared" si="480"/>
        <v>4.2162573817208582</v>
      </c>
      <c r="HV83" s="559" t="s">
        <v>602</v>
      </c>
      <c r="HW83" s="583">
        <f>HW57+HW58+HW59</f>
        <v>1089.4127100000001</v>
      </c>
      <c r="HX83" s="561">
        <f>HX57+HX58+HX59</f>
        <v>5090.1632730000001</v>
      </c>
      <c r="HY83" s="790">
        <f t="shared" si="481"/>
        <v>4.6723920386425455</v>
      </c>
      <c r="HZ83" s="561">
        <f>HZ57+HZ58+HZ59</f>
        <v>333.25746000000004</v>
      </c>
      <c r="IA83" s="561">
        <f>IA57+IA58+IA59</f>
        <v>951.04904599999998</v>
      </c>
      <c r="IB83" s="790">
        <f t="shared" si="482"/>
        <v>2.853796719209226</v>
      </c>
      <c r="IC83" s="583">
        <f>IC57+IC58+IC59</f>
        <v>1246.0563925377028</v>
      </c>
      <c r="ID83" s="561">
        <f>ID57+ID58+ID59</f>
        <v>5681.1601011763842</v>
      </c>
      <c r="IE83" s="790">
        <f t="shared" si="483"/>
        <v>4.5593121910046177</v>
      </c>
      <c r="IF83" s="561">
        <f>IF57+IF58+IF59</f>
        <v>231.29591733332609</v>
      </c>
      <c r="IG83" s="561">
        <f>IG57+IG58+IG59</f>
        <v>619.54452140079741</v>
      </c>
      <c r="IH83" s="790">
        <f t="shared" si="126"/>
        <v>2.6785795812727509</v>
      </c>
      <c r="II83" s="624">
        <f>II57+II58+II59</f>
        <v>1282.1111166107962</v>
      </c>
      <c r="IJ83" s="621">
        <f>IJ57+IJ58+IJ59</f>
        <v>5849.7663949740008</v>
      </c>
      <c r="IK83" s="798">
        <f t="shared" si="484"/>
        <v>4.5626048469477425</v>
      </c>
      <c r="IL83" s="621">
        <f>IL57+IL58+IL59</f>
        <v>291.84214066154112</v>
      </c>
      <c r="IM83" s="621">
        <f>IM57+IM58+IM59</f>
        <v>786.42564448407973</v>
      </c>
      <c r="IN83" s="799">
        <f t="shared" si="485"/>
        <v>2.6946952989771389</v>
      </c>
      <c r="IP83" s="559" t="s">
        <v>602</v>
      </c>
      <c r="IQ83" s="624">
        <f>IQ57+IQ58+IQ59</f>
        <v>39.129773999999998</v>
      </c>
      <c r="IR83" s="621">
        <f t="shared" ref="IR83:JH83" si="936">IR57+IR58+IR59</f>
        <v>87.228994999999998</v>
      </c>
      <c r="IS83" s="621">
        <f t="shared" si="936"/>
        <v>196.993989</v>
      </c>
      <c r="IT83" s="621">
        <f t="shared" si="936"/>
        <v>493.66978699999999</v>
      </c>
      <c r="IU83" s="621">
        <f t="shared" si="936"/>
        <v>605.64762700000006</v>
      </c>
      <c r="IV83" s="621">
        <f t="shared" si="936"/>
        <v>6041.2123190000002</v>
      </c>
      <c r="IW83" s="705">
        <f t="shared" si="936"/>
        <v>36.128203996118437</v>
      </c>
      <c r="IX83" s="706">
        <f t="shared" si="936"/>
        <v>72.42345095136011</v>
      </c>
      <c r="IY83" s="706">
        <f t="shared" si="936"/>
        <v>188.23505107478348</v>
      </c>
      <c r="IZ83" s="706">
        <f t="shared" si="936"/>
        <v>578.24118448970466</v>
      </c>
      <c r="JA83" s="706">
        <f t="shared" si="936"/>
        <v>602.32441935906218</v>
      </c>
      <c r="JB83" s="618">
        <f t="shared" si="936"/>
        <v>6300.704622577181</v>
      </c>
      <c r="JC83" s="705">
        <f t="shared" si="936"/>
        <v>28.7637929274178</v>
      </c>
      <c r="JD83" s="706">
        <f t="shared" si="936"/>
        <v>118.81159886084507</v>
      </c>
      <c r="JE83" s="706">
        <f t="shared" si="936"/>
        <v>219.17346633412851</v>
      </c>
      <c r="JF83" s="706">
        <f t="shared" si="936"/>
        <v>573.52983111969468</v>
      </c>
      <c r="JG83" s="706">
        <f t="shared" si="936"/>
        <v>633.67456803025061</v>
      </c>
      <c r="JH83" s="618">
        <f t="shared" si="936"/>
        <v>6636.1920394580802</v>
      </c>
      <c r="JJ83" s="559" t="s">
        <v>602</v>
      </c>
      <c r="JK83" s="624">
        <f t="shared" ref="JK83:JV83" si="937">JK57+JK58+JK59</f>
        <v>905.18940999999995</v>
      </c>
      <c r="JL83" s="621">
        <f t="shared" si="937"/>
        <v>120.00180399999996</v>
      </c>
      <c r="JM83" s="621">
        <f t="shared" si="937"/>
        <v>365.96383500000002</v>
      </c>
      <c r="JN83" s="622">
        <f t="shared" si="937"/>
        <v>31.515121999999998</v>
      </c>
      <c r="JO83" s="624">
        <f t="shared" si="937"/>
        <v>1057.8034880603263</v>
      </c>
      <c r="JP83" s="621">
        <f t="shared" si="937"/>
        <v>111.946348841917</v>
      </c>
      <c r="JQ83" s="621">
        <f t="shared" si="937"/>
        <v>286.74361368967794</v>
      </c>
      <c r="JR83" s="622">
        <f t="shared" si="937"/>
        <v>20.85885927910763</v>
      </c>
      <c r="JS83" s="624">
        <f t="shared" si="937"/>
        <v>1107.8948935279561</v>
      </c>
      <c r="JT83" s="621">
        <f t="shared" si="937"/>
        <v>221.3113317696681</v>
      </c>
      <c r="JU83" s="621">
        <f t="shared" si="937"/>
        <v>229.74977754662899</v>
      </c>
      <c r="JV83" s="622">
        <f t="shared" si="937"/>
        <v>14.99725442808341</v>
      </c>
      <c r="JX83" s="559" t="s">
        <v>602</v>
      </c>
      <c r="JY83" s="624">
        <f t="shared" ref="JY83:KB83" si="938">JY57+JY58+JY59</f>
        <v>124.24616366969261</v>
      </c>
      <c r="JZ83" s="621">
        <f t="shared" si="938"/>
        <v>271.32717769113799</v>
      </c>
      <c r="KA83" s="621">
        <f t="shared" si="938"/>
        <v>186.93355942922878</v>
      </c>
      <c r="KB83" s="622">
        <f t="shared" si="938"/>
        <v>991.44635648227734</v>
      </c>
      <c r="KC83" s="604"/>
      <c r="KD83" s="559" t="s">
        <v>602</v>
      </c>
      <c r="KE83" s="624">
        <f t="shared" ref="KE83:KV83" si="939">KE57+KE58+KE59</f>
        <v>16.126076729188</v>
      </c>
      <c r="KF83" s="621">
        <f t="shared" si="939"/>
        <v>4.0315191822970098</v>
      </c>
      <c r="KG83" s="621">
        <f t="shared" si="939"/>
        <v>7.3557785048315898</v>
      </c>
      <c r="KH83" s="621">
        <f t="shared" si="939"/>
        <v>75.561898213866371</v>
      </c>
      <c r="KI83" s="621">
        <f t="shared" si="939"/>
        <v>65.135862211729602</v>
      </c>
      <c r="KJ83" s="622">
        <f t="shared" si="939"/>
        <v>117.912658527584</v>
      </c>
      <c r="KK83" s="624">
        <f t="shared" si="939"/>
        <v>19.527451182577899</v>
      </c>
      <c r="KL83" s="621">
        <f t="shared" si="939"/>
        <v>4.0315191822970098</v>
      </c>
      <c r="KM83" s="621">
        <f t="shared" si="939"/>
        <v>54.548289470313712</v>
      </c>
      <c r="KN83" s="621">
        <f t="shared" si="939"/>
        <v>1137.4667039708816</v>
      </c>
      <c r="KO83" s="621">
        <f t="shared" si="939"/>
        <v>51.638497732152764</v>
      </c>
      <c r="KP83" s="622">
        <f t="shared" si="939"/>
        <v>10.86713589027546</v>
      </c>
      <c r="KQ83" s="624">
        <f t="shared" si="939"/>
        <v>35.653527911765998</v>
      </c>
      <c r="KR83" s="621">
        <f t="shared" si="939"/>
        <v>8.0630383645940196</v>
      </c>
      <c r="KS83" s="621">
        <f t="shared" si="939"/>
        <v>61.904067975145303</v>
      </c>
      <c r="KT83" s="621">
        <f t="shared" si="939"/>
        <v>1213.0286021847487</v>
      </c>
      <c r="KU83" s="621">
        <f t="shared" si="939"/>
        <v>116.77435994388216</v>
      </c>
      <c r="KV83" s="622">
        <f t="shared" si="939"/>
        <v>128.7797944178588</v>
      </c>
      <c r="KW83" s="429"/>
      <c r="KX83" s="559" t="s">
        <v>602</v>
      </c>
      <c r="KY83" s="624">
        <f t="shared" ref="KY83:LA83" si="940">KY57+KY58+KY59</f>
        <v>135.23916300000008</v>
      </c>
      <c r="KZ83" s="621">
        <f t="shared" si="940"/>
        <v>757.98235899999997</v>
      </c>
      <c r="LA83" s="622">
        <f t="shared" si="940"/>
        <v>531.44864600000005</v>
      </c>
      <c r="LB83" s="624">
        <f t="shared" ref="LB83:LD83" si="941">LB57+LB58+LB59</f>
        <v>138.52422856503404</v>
      </c>
      <c r="LC83" s="621">
        <f t="shared" si="941"/>
        <v>810.34816069820431</v>
      </c>
      <c r="LD83" s="622">
        <f t="shared" si="941"/>
        <v>529.47991982627786</v>
      </c>
      <c r="LE83" s="624">
        <f t="shared" ref="LE83:LG83" si="942">LE57+LE58+LE59</f>
        <v>172.01774426162592</v>
      </c>
      <c r="LF83" s="621">
        <f t="shared" si="942"/>
        <v>852.0336724232593</v>
      </c>
      <c r="LG83" s="622">
        <f t="shared" si="942"/>
        <v>548.90183957206705</v>
      </c>
      <c r="LH83" s="426"/>
      <c r="LI83" s="559" t="s">
        <v>602</v>
      </c>
      <c r="LJ83" s="624">
        <f t="shared" ref="LJ83:MA83" si="943">LJ57+LJ58+LJ59</f>
        <v>1536.7593629999999</v>
      </c>
      <c r="LK83" s="621">
        <f t="shared" si="943"/>
        <v>1403.2905599999999</v>
      </c>
      <c r="LL83" s="621">
        <f t="shared" si="943"/>
        <v>133.46880199999998</v>
      </c>
      <c r="LM83" s="621">
        <f t="shared" si="943"/>
        <v>287.05034699999999</v>
      </c>
      <c r="LN83" s="621">
        <f t="shared" si="943"/>
        <v>376.03385500000002</v>
      </c>
      <c r="LO83" s="622">
        <f t="shared" si="943"/>
        <v>143.88865699999999</v>
      </c>
      <c r="LP83" s="624">
        <f t="shared" si="943"/>
        <v>1394.19771266867</v>
      </c>
      <c r="LQ83" s="621">
        <f t="shared" si="943"/>
        <v>1209.067685348655</v>
      </c>
      <c r="LR83" s="621">
        <f t="shared" si="943"/>
        <v>185.13002732001468</v>
      </c>
      <c r="LS83" s="621">
        <f t="shared" si="943"/>
        <v>196.75139495974378</v>
      </c>
      <c r="LT83" s="621">
        <f t="shared" si="943"/>
        <v>310.84113352919411</v>
      </c>
      <c r="LU83" s="622">
        <f t="shared" si="943"/>
        <v>79.151371162768527</v>
      </c>
      <c r="LV83" s="624">
        <f t="shared" si="943"/>
        <v>1324.6978392712597</v>
      </c>
      <c r="LW83" s="621">
        <f t="shared" si="943"/>
        <v>1136.1751389867632</v>
      </c>
      <c r="LX83" s="621">
        <f t="shared" si="943"/>
        <v>188.52270028449766</v>
      </c>
      <c r="LY83" s="621">
        <f t="shared" si="943"/>
        <v>205.34880967342409</v>
      </c>
      <c r="LZ83" s="621">
        <f t="shared" si="943"/>
        <v>211.80252945609112</v>
      </c>
      <c r="MA83" s="622">
        <f t="shared" si="943"/>
        <v>84.388775007337998</v>
      </c>
      <c r="MC83" s="559" t="s">
        <v>602</v>
      </c>
      <c r="MD83" s="624">
        <f t="shared" ref="MD83:MU83" si="944">MD57+MD58+MD59</f>
        <v>0</v>
      </c>
      <c r="ME83" s="621">
        <f t="shared" si="944"/>
        <v>35.969919000000004</v>
      </c>
      <c r="MF83" s="621">
        <f t="shared" si="944"/>
        <v>144.42378400000001</v>
      </c>
      <c r="MG83" s="621">
        <f t="shared" si="944"/>
        <v>385.54210900000004</v>
      </c>
      <c r="MH83" s="621">
        <f t="shared" si="944"/>
        <v>506.80399399999999</v>
      </c>
      <c r="MI83" s="622">
        <f t="shared" si="944"/>
        <v>330.55075299999999</v>
      </c>
      <c r="MJ83" s="624">
        <f t="shared" si="944"/>
        <v>0</v>
      </c>
      <c r="MK83" s="621">
        <f t="shared" si="944"/>
        <v>42.55900869032665</v>
      </c>
      <c r="ML83" s="621">
        <f t="shared" si="944"/>
        <v>140.41487505110874</v>
      </c>
      <c r="MM83" s="621">
        <f t="shared" si="944"/>
        <v>312.83460995820758</v>
      </c>
      <c r="MN83" s="621">
        <f t="shared" si="944"/>
        <v>368.23549294915244</v>
      </c>
      <c r="MO83" s="622">
        <f t="shared" si="944"/>
        <v>349.02369557380865</v>
      </c>
      <c r="MP83" s="624">
        <f t="shared" si="944"/>
        <v>0</v>
      </c>
      <c r="MQ83" s="621">
        <f t="shared" si="944"/>
        <v>41.513636452735</v>
      </c>
      <c r="MR83" s="621">
        <f t="shared" si="944"/>
        <v>137.101084367667</v>
      </c>
      <c r="MS83" s="621">
        <f t="shared" si="944"/>
        <v>317.9156580703704</v>
      </c>
      <c r="MT83" s="621">
        <f t="shared" si="944"/>
        <v>389.53767394690294</v>
      </c>
      <c r="MU83" s="622">
        <f t="shared" si="944"/>
        <v>250.10708614908739</v>
      </c>
      <c r="MW83" s="559" t="s">
        <v>602</v>
      </c>
      <c r="MX83" s="583">
        <f t="shared" ref="MX83:NF83" si="945">MX57+MX58+MX59</f>
        <v>1413.550743</v>
      </c>
      <c r="MY83" s="561">
        <f t="shared" si="945"/>
        <v>1351.2826679999998</v>
      </c>
      <c r="MZ83" s="561">
        <f t="shared" si="945"/>
        <v>62.268073999999999</v>
      </c>
      <c r="NA83" s="583">
        <f t="shared" si="945"/>
        <v>1219.8335405891742</v>
      </c>
      <c r="NB83" s="561">
        <f t="shared" si="945"/>
        <v>1156.2865399992518</v>
      </c>
      <c r="NC83" s="562">
        <f t="shared" si="945"/>
        <v>63.547000589922277</v>
      </c>
      <c r="ND83" s="583">
        <f t="shared" si="945"/>
        <v>1136.1751389867632</v>
      </c>
      <c r="NE83" s="561">
        <f t="shared" si="945"/>
        <v>1085.699563063785</v>
      </c>
      <c r="NF83" s="562">
        <f t="shared" si="945"/>
        <v>50.475575922978493</v>
      </c>
      <c r="NH83" s="559" t="s">
        <v>602</v>
      </c>
      <c r="NI83" s="583">
        <f t="shared" ref="NI83:NR83" si="946">NI57+NI58+NI59</f>
        <v>966.09020306330422</v>
      </c>
      <c r="NJ83" s="562">
        <f t="shared" si="946"/>
        <v>190.19633693594761</v>
      </c>
      <c r="NK83" s="583">
        <f t="shared" si="946"/>
        <v>49.282926914418518</v>
      </c>
      <c r="NL83" s="561">
        <f t="shared" si="946"/>
        <v>14.264073675503761</v>
      </c>
      <c r="NM83" s="562">
        <f t="shared" si="946"/>
        <v>0</v>
      </c>
      <c r="NN83" s="583">
        <f t="shared" si="946"/>
        <v>927.24623490138288</v>
      </c>
      <c r="NO83" s="562">
        <f t="shared" si="946"/>
        <v>158.4533281624023</v>
      </c>
      <c r="NP83" s="583">
        <f t="shared" si="946"/>
        <v>34.676584846742998</v>
      </c>
      <c r="NQ83" s="561">
        <f t="shared" si="946"/>
        <v>15.798991076235501</v>
      </c>
      <c r="NR83" s="562">
        <f t="shared" si="946"/>
        <v>0</v>
      </c>
      <c r="NS83" s="136"/>
      <c r="NT83" s="559" t="s">
        <v>602</v>
      </c>
      <c r="NU83" s="583">
        <f t="shared" ref="NU83:OB83" si="947">NU57+NU58+NU59</f>
        <v>80.440652858776971</v>
      </c>
      <c r="NV83" s="561">
        <f t="shared" si="947"/>
        <v>24.089957556838179</v>
      </c>
      <c r="NW83" s="561">
        <f t="shared" si="947"/>
        <v>6.9591619181303699</v>
      </c>
      <c r="NX83" s="562">
        <f t="shared" si="947"/>
        <v>78.706564602202107</v>
      </c>
      <c r="NY83" s="583">
        <f t="shared" si="947"/>
        <v>65.886631898995006</v>
      </c>
      <c r="NZ83" s="561">
        <f t="shared" si="947"/>
        <v>44.242260508789798</v>
      </c>
      <c r="OA83" s="561">
        <f t="shared" si="947"/>
        <v>11.7934442398395</v>
      </c>
      <c r="OB83" s="562">
        <f t="shared" si="947"/>
        <v>36.530991514778002</v>
      </c>
      <c r="OC83" s="553"/>
      <c r="OD83" s="559" t="s">
        <v>602</v>
      </c>
      <c r="OE83" s="624">
        <f t="shared" ref="OE83:OR83" si="948">OE57+OE58+OE59</f>
        <v>106.2406264655138</v>
      </c>
      <c r="OF83" s="621">
        <f t="shared" si="948"/>
        <v>132.39827004138621</v>
      </c>
      <c r="OG83" s="621">
        <f t="shared" si="948"/>
        <v>101.9248378160753</v>
      </c>
      <c r="OH83" s="621">
        <f t="shared" si="948"/>
        <v>87.915352463359298</v>
      </c>
      <c r="OI83" s="621">
        <f t="shared" si="948"/>
        <v>189.1360073577506</v>
      </c>
      <c r="OJ83" s="621">
        <f t="shared" si="948"/>
        <v>16.975365768424101</v>
      </c>
      <c r="OK83" s="622">
        <f t="shared" si="948"/>
        <v>27.863688429757268</v>
      </c>
      <c r="OL83" s="624">
        <f t="shared" si="948"/>
        <v>151.4398832399514</v>
      </c>
      <c r="OM83" s="621">
        <f t="shared" si="948"/>
        <v>140.17690824443221</v>
      </c>
      <c r="ON83" s="621">
        <f t="shared" si="948"/>
        <v>109.68676287361779</v>
      </c>
      <c r="OO83" s="621">
        <f t="shared" si="948"/>
        <v>95.978390827953305</v>
      </c>
      <c r="OP83" s="621">
        <f t="shared" si="948"/>
        <v>291.69220327651658</v>
      </c>
      <c r="OQ83" s="621">
        <f t="shared" si="948"/>
        <v>132.18751361845401</v>
      </c>
      <c r="OR83" s="622">
        <f t="shared" si="948"/>
        <v>2350.8981092604599</v>
      </c>
      <c r="OT83" s="559" t="s">
        <v>602</v>
      </c>
      <c r="OU83" s="624">
        <f t="shared" ref="OU83:PF83" si="949">OU57+OU58+OU59</f>
        <v>923.22350299999994</v>
      </c>
      <c r="OV83" s="621">
        <f t="shared" si="949"/>
        <v>728.75391200000001</v>
      </c>
      <c r="OW83" s="621">
        <f t="shared" si="949"/>
        <v>418.20278300000001</v>
      </c>
      <c r="OX83" s="622">
        <f t="shared" si="949"/>
        <v>358.241241</v>
      </c>
      <c r="OY83" s="624">
        <f t="shared" si="949"/>
        <v>886.51838888681903</v>
      </c>
      <c r="OZ83" s="621">
        <f t="shared" si="949"/>
        <v>749.31685167852413</v>
      </c>
      <c r="PA83" s="621">
        <f t="shared" si="949"/>
        <v>394.31440218088358</v>
      </c>
      <c r="PB83" s="622">
        <f t="shared" si="949"/>
        <v>470.56118344599332</v>
      </c>
      <c r="PC83" s="624">
        <f t="shared" si="949"/>
        <v>746.57666696098715</v>
      </c>
      <c r="PD83" s="621">
        <f t="shared" si="949"/>
        <v>794.62891555986835</v>
      </c>
      <c r="PE83" s="621">
        <f t="shared" si="949"/>
        <v>397.13329933547601</v>
      </c>
      <c r="PF83" s="622">
        <f t="shared" si="949"/>
        <v>610.52692110775911</v>
      </c>
      <c r="PH83" s="559" t="s">
        <v>602</v>
      </c>
      <c r="PI83" s="583">
        <f t="shared" ref="PI83:PP83" si="950">PI57+PI58+PI59</f>
        <v>266.6923602377384</v>
      </c>
      <c r="PJ83" s="561">
        <f t="shared" si="950"/>
        <v>447.06727418136904</v>
      </c>
      <c r="PK83" s="561">
        <f t="shared" si="950"/>
        <v>177.75606593008229</v>
      </c>
      <c r="PL83" s="562">
        <f t="shared" si="950"/>
        <v>269.82597777090336</v>
      </c>
      <c r="PM83" s="583">
        <f t="shared" si="950"/>
        <v>479.88430672324927</v>
      </c>
      <c r="PN83" s="561">
        <f t="shared" si="950"/>
        <v>347.56164137849942</v>
      </c>
      <c r="PO83" s="561">
        <f t="shared" si="950"/>
        <v>219.37723340539338</v>
      </c>
      <c r="PP83" s="562">
        <f t="shared" si="950"/>
        <v>340.70094333685529</v>
      </c>
      <c r="PQ83" s="65"/>
      <c r="PR83" s="563" t="s">
        <v>602</v>
      </c>
      <c r="PS83" s="1047">
        <f t="shared" ref="PS83:PW83" si="951">PS57+PS58+PS59</f>
        <v>33.436110972029056</v>
      </c>
      <c r="PT83" s="1048">
        <f t="shared" si="951"/>
        <v>82.531724316688695</v>
      </c>
      <c r="PU83" s="1048">
        <f t="shared" si="951"/>
        <v>35.06860115675866</v>
      </c>
      <c r="PV83" s="1048">
        <f t="shared" si="951"/>
        <v>22.075162563800699</v>
      </c>
      <c r="PW83" s="1048">
        <f t="shared" si="951"/>
        <v>825.34197755406194</v>
      </c>
      <c r="PX83" s="1049">
        <f t="shared" ref="PX83" si="952">PX57+PX58+PX59</f>
        <v>137.72156242342351</v>
      </c>
      <c r="PZ83" s="563" t="s">
        <v>602</v>
      </c>
      <c r="QA83" s="1047">
        <f t="shared" ref="QA83:QF83" si="953">QA57+QA58+QA59</f>
        <v>722.76497208039495</v>
      </c>
      <c r="QB83" s="1048">
        <f t="shared" si="953"/>
        <v>413.41016690636798</v>
      </c>
      <c r="QC83" s="1048">
        <f t="shared" si="953"/>
        <v>351.86091235351529</v>
      </c>
      <c r="QD83" s="1048">
        <f t="shared" ref="QD83" si="954">QD57+QD58+QD59</f>
        <v>31.111886824253229</v>
      </c>
      <c r="QE83" s="1048">
        <f t="shared" si="953"/>
        <v>30.437367728599138</v>
      </c>
      <c r="QF83" s="1049">
        <f t="shared" si="953"/>
        <v>0</v>
      </c>
    </row>
    <row r="84" spans="1:448" ht="13.5" customHeight="1">
      <c r="A84" s="136"/>
      <c r="B84" s="170" t="s">
        <v>582</v>
      </c>
      <c r="C84" s="561">
        <f t="shared" ref="C84" si="955">C60</f>
        <v>4016.8700829999998</v>
      </c>
      <c r="D84" s="561">
        <f t="shared" ref="D84:E84" si="956">D60</f>
        <v>3773.5322672344314</v>
      </c>
      <c r="E84" s="562">
        <f t="shared" si="956"/>
        <v>3736.5523623722102</v>
      </c>
      <c r="F84" s="136"/>
      <c r="G84" s="170" t="s">
        <v>582</v>
      </c>
      <c r="H84" s="682">
        <f t="shared" si="447"/>
        <v>-1.2420522467432304E-2</v>
      </c>
      <c r="I84" s="674">
        <f t="shared" si="448"/>
        <v>-1.9676906888131951E-3</v>
      </c>
      <c r="J84" s="683"/>
      <c r="K84" s="63"/>
      <c r="L84" s="170" t="s">
        <v>582</v>
      </c>
      <c r="M84" s="623">
        <f t="shared" ref="M84:T84" si="957">M60</f>
        <v>19</v>
      </c>
      <c r="N84" s="619">
        <f t="shared" si="957"/>
        <v>23</v>
      </c>
      <c r="O84" s="619">
        <f t="shared" si="957"/>
        <v>20</v>
      </c>
      <c r="P84" s="619">
        <f t="shared" si="957"/>
        <v>15</v>
      </c>
      <c r="Q84" s="619">
        <f t="shared" si="957"/>
        <v>21</v>
      </c>
      <c r="R84" s="619">
        <f t="shared" si="957"/>
        <v>18</v>
      </c>
      <c r="S84" s="619">
        <f t="shared" si="957"/>
        <v>34</v>
      </c>
      <c r="T84" s="619">
        <f t="shared" si="957"/>
        <v>21</v>
      </c>
      <c r="U84" s="619">
        <f t="shared" ref="U84:V84" si="958">U60</f>
        <v>18</v>
      </c>
      <c r="V84" s="619">
        <f t="shared" si="958"/>
        <v>15</v>
      </c>
      <c r="W84" s="620">
        <f t="shared" ref="W84" si="959">W60</f>
        <v>22</v>
      </c>
      <c r="X84" s="170" t="s">
        <v>582</v>
      </c>
      <c r="Y84" s="623">
        <f t="shared" ref="Y84:AB85" si="960">Y60</f>
        <v>21</v>
      </c>
      <c r="Z84" s="619">
        <f t="shared" si="960"/>
        <v>17.5</v>
      </c>
      <c r="AA84" s="619">
        <f t="shared" si="960"/>
        <v>19.5</v>
      </c>
      <c r="AB84" s="619">
        <f t="shared" si="960"/>
        <v>27.5</v>
      </c>
      <c r="AC84" s="1205">
        <f t="shared" ref="AC84" si="961">AC60</f>
        <v>27.5</v>
      </c>
      <c r="AD84" s="675">
        <f t="shared" si="98"/>
        <v>-0.16666666666666666</v>
      </c>
      <c r="AE84" s="675">
        <f t="shared" si="99"/>
        <v>0.11428571428571428</v>
      </c>
      <c r="AF84" s="675">
        <f t="shared" si="100"/>
        <v>0.41025641025641024</v>
      </c>
      <c r="AG84" s="1216">
        <f t="shared" si="101"/>
        <v>0</v>
      </c>
      <c r="AN84" s="170" t="s">
        <v>582</v>
      </c>
      <c r="AO84" s="623">
        <f t="shared" ref="AO84:AV84" si="962">AO60</f>
        <v>0</v>
      </c>
      <c r="AP84" s="619">
        <f t="shared" si="962"/>
        <v>26.459962000000001</v>
      </c>
      <c r="AQ84" s="619">
        <f t="shared" si="962"/>
        <v>176.78026800000001</v>
      </c>
      <c r="AR84" s="619">
        <f t="shared" si="962"/>
        <v>330.86445400000002</v>
      </c>
      <c r="AS84" s="619">
        <f t="shared" si="962"/>
        <v>423.84807999999998</v>
      </c>
      <c r="AT84" s="619">
        <f t="shared" si="962"/>
        <v>233.29078999999999</v>
      </c>
      <c r="AU84" s="619">
        <f t="shared" si="962"/>
        <v>661.54069300000003</v>
      </c>
      <c r="AV84" s="620">
        <f t="shared" si="962"/>
        <v>1892.1785090000001</v>
      </c>
      <c r="AW84" s="623">
        <f t="shared" ref="AW84:BD84" si="963">AW60</f>
        <v>0</v>
      </c>
      <c r="AX84" s="619">
        <f t="shared" si="963"/>
        <v>13.578856110530218</v>
      </c>
      <c r="AY84" s="619">
        <f t="shared" si="963"/>
        <v>141.8581269380461</v>
      </c>
      <c r="AZ84" s="619">
        <f t="shared" si="963"/>
        <v>299.79935759887019</v>
      </c>
      <c r="BA84" s="619">
        <f t="shared" si="963"/>
        <v>445.73406928692935</v>
      </c>
      <c r="BB84" s="619">
        <f t="shared" si="963"/>
        <v>291.43866397898324</v>
      </c>
      <c r="BC84" s="619">
        <f t="shared" si="963"/>
        <v>513.06597579589061</v>
      </c>
      <c r="BD84" s="620">
        <f t="shared" si="963"/>
        <v>1806.4815451439711</v>
      </c>
      <c r="BE84" s="623">
        <f t="shared" ref="BE84:BL84" si="964">BE60</f>
        <v>0</v>
      </c>
      <c r="BF84" s="619">
        <f t="shared" si="964"/>
        <v>29.645609251570001</v>
      </c>
      <c r="BG84" s="619">
        <f t="shared" si="964"/>
        <v>183.16454566415001</v>
      </c>
      <c r="BH84" s="619">
        <f t="shared" si="964"/>
        <v>384.49037129511902</v>
      </c>
      <c r="BI84" s="619">
        <f t="shared" si="964"/>
        <v>452.46255353864501</v>
      </c>
      <c r="BJ84" s="619">
        <f t="shared" si="964"/>
        <v>264.50195177333802</v>
      </c>
      <c r="BK84" s="619">
        <f t="shared" si="964"/>
        <v>445.90209388302799</v>
      </c>
      <c r="BL84" s="620">
        <f t="shared" si="964"/>
        <v>1708.7666210278601</v>
      </c>
      <c r="BN84" s="170" t="s">
        <v>582</v>
      </c>
      <c r="BO84" s="623">
        <f t="shared" ref="BO84:BT84" si="965">BO60</f>
        <v>277.90731899999997</v>
      </c>
      <c r="BP84" s="619">
        <f t="shared" si="965"/>
        <v>2275.127755</v>
      </c>
      <c r="BQ84" s="619">
        <f t="shared" si="965"/>
        <v>442.014499</v>
      </c>
      <c r="BR84" s="619">
        <f t="shared" si="965"/>
        <v>334.95671399999998</v>
      </c>
      <c r="BS84" s="619">
        <f t="shared" si="965"/>
        <v>366.783141</v>
      </c>
      <c r="BT84" s="620">
        <f t="shared" si="965"/>
        <v>320.08065499999998</v>
      </c>
      <c r="BU84" s="623">
        <f t="shared" ref="BU84:BZ84" si="966">BU60</f>
        <v>257.57567550725878</v>
      </c>
      <c r="BV84" s="619">
        <f t="shared" si="966"/>
        <v>2223.251374193791</v>
      </c>
      <c r="BW84" s="619">
        <f t="shared" si="966"/>
        <v>393.2720723820172</v>
      </c>
      <c r="BX84" s="619">
        <f t="shared" si="966"/>
        <v>344.74830702453534</v>
      </c>
      <c r="BY84" s="619">
        <f t="shared" si="966"/>
        <v>297.40559306585044</v>
      </c>
      <c r="BZ84" s="620">
        <f t="shared" si="966"/>
        <v>257.27924506097781</v>
      </c>
      <c r="CA84" s="623">
        <f t="shared" ref="CA84:CF84" si="967">CA60</f>
        <v>266.61861492311101</v>
      </c>
      <c r="CB84" s="619">
        <f t="shared" si="967"/>
        <v>2153.0740259741101</v>
      </c>
      <c r="CC84" s="619">
        <f t="shared" si="967"/>
        <v>371.95045681844198</v>
      </c>
      <c r="CD84" s="619">
        <f t="shared" si="967"/>
        <v>425.21324337887103</v>
      </c>
      <c r="CE84" s="619">
        <f t="shared" si="967"/>
        <v>288.16799144058302</v>
      </c>
      <c r="CF84" s="620">
        <f t="shared" si="967"/>
        <v>231.52802983709199</v>
      </c>
      <c r="CG84" s="429"/>
      <c r="CH84" s="170" t="s">
        <v>582</v>
      </c>
      <c r="CI84" s="583">
        <f t="shared" ref="CI84:CK84" si="968">CI60</f>
        <v>1109.0968399999999</v>
      </c>
      <c r="CJ84" s="561">
        <f t="shared" si="968"/>
        <v>2338.9623120000001</v>
      </c>
      <c r="CK84" s="561">
        <f t="shared" si="968"/>
        <v>568.81093099999998</v>
      </c>
      <c r="CL84" s="583">
        <f t="shared" ref="CL84:CN84" si="969">CL60</f>
        <v>979.9717591349098</v>
      </c>
      <c r="CM84" s="561">
        <f t="shared" si="969"/>
        <v>2338.6273065260648</v>
      </c>
      <c r="CN84" s="561">
        <f t="shared" si="969"/>
        <v>454.9332015734559</v>
      </c>
      <c r="CO84" s="583">
        <f t="shared" ref="CO84:CQ84" si="970">CO60</f>
        <v>1046.9611541757599</v>
      </c>
      <c r="CP84" s="561">
        <f t="shared" si="970"/>
        <v>2262.1151632596202</v>
      </c>
      <c r="CQ84" s="562">
        <f t="shared" si="970"/>
        <v>427.47604493683099</v>
      </c>
      <c r="CR84" s="429"/>
      <c r="DG84" s="170" t="s">
        <v>582</v>
      </c>
      <c r="DH84" s="829"/>
      <c r="DI84" s="830"/>
      <c r="DJ84" s="830"/>
      <c r="DK84" s="830"/>
      <c r="DL84" s="830"/>
      <c r="DM84" s="831"/>
      <c r="DO84" s="170" t="s">
        <v>582</v>
      </c>
      <c r="DP84" s="708">
        <f t="shared" ref="DP84:DR84" si="971">DP60</f>
        <v>1989.499133</v>
      </c>
      <c r="DQ84" s="619">
        <f t="shared" si="971"/>
        <v>1783.6124957591355</v>
      </c>
      <c r="DR84" s="620">
        <f t="shared" si="971"/>
        <v>1778.0542319469</v>
      </c>
      <c r="DS84" s="63"/>
      <c r="DT84" s="170" t="s">
        <v>582</v>
      </c>
      <c r="DU84" s="623">
        <f t="shared" ref="DU84:DW84" si="972">DU60</f>
        <v>2977.8713499999999</v>
      </c>
      <c r="DV84" s="619">
        <f t="shared" si="972"/>
        <v>2615.5331722261726</v>
      </c>
      <c r="DW84" s="620">
        <f t="shared" si="972"/>
        <v>2680.5512901256302</v>
      </c>
      <c r="DX84" s="63"/>
      <c r="DY84" s="170" t="s">
        <v>582</v>
      </c>
      <c r="DZ84" s="1092">
        <f t="shared" si="410"/>
        <v>1.496794494958948</v>
      </c>
      <c r="EA84" s="790">
        <f t="shared" si="411"/>
        <v>1.4664245616382934</v>
      </c>
      <c r="EB84" s="779">
        <f t="shared" si="412"/>
        <v>1.5075756644332108</v>
      </c>
      <c r="ED84" s="541"/>
      <c r="EE84" s="170" t="s">
        <v>582</v>
      </c>
      <c r="EF84" s="583">
        <f t="shared" ref="EF84:EJ84" si="973">EF60</f>
        <v>1359.9228089999999</v>
      </c>
      <c r="EG84" s="561">
        <f t="shared" si="973"/>
        <v>45.288891</v>
      </c>
      <c r="EH84" s="561">
        <f t="shared" si="973"/>
        <v>304.94265899999999</v>
      </c>
      <c r="EI84" s="561">
        <f t="shared" si="973"/>
        <v>192.33192600000001</v>
      </c>
      <c r="EJ84" s="561">
        <f t="shared" si="973"/>
        <v>87.012846999999994</v>
      </c>
      <c r="EK84" s="583">
        <f t="shared" ref="EK84:EO84" si="974">EK60</f>
        <v>1257.3144895113028</v>
      </c>
      <c r="EL84" s="561">
        <f t="shared" si="974"/>
        <v>46.078742899125878</v>
      </c>
      <c r="EM84" s="561">
        <f t="shared" si="974"/>
        <v>253.95730862226023</v>
      </c>
      <c r="EN84" s="561">
        <f t="shared" si="974"/>
        <v>153.17366732175441</v>
      </c>
      <c r="EO84" s="561">
        <f t="shared" si="974"/>
        <v>73.088287404691911</v>
      </c>
      <c r="EP84" s="583">
        <f t="shared" ref="EP84:ET84" si="975">EP60</f>
        <v>1238.86739690532</v>
      </c>
      <c r="EQ84" s="561">
        <f t="shared" si="975"/>
        <v>42.849394454189799</v>
      </c>
      <c r="ER84" s="561">
        <f t="shared" si="975"/>
        <v>234.532619704881</v>
      </c>
      <c r="ES84" s="561">
        <f t="shared" si="975"/>
        <v>168.174896108128</v>
      </c>
      <c r="ET84" s="562">
        <f t="shared" si="975"/>
        <v>93.629924774385302</v>
      </c>
      <c r="EV84" s="170" t="s">
        <v>582</v>
      </c>
      <c r="EW84" s="583">
        <f t="shared" ref="EW84:FD84" si="976">EW60</f>
        <v>759.07756400000005</v>
      </c>
      <c r="EX84" s="561">
        <f t="shared" si="976"/>
        <v>306.42018200000001</v>
      </c>
      <c r="EY84" s="561">
        <f t="shared" si="976"/>
        <v>191.28524999999999</v>
      </c>
      <c r="EZ84" s="561">
        <f t="shared" si="976"/>
        <v>103.13981200000001</v>
      </c>
      <c r="FA84" s="583">
        <f t="shared" si="976"/>
        <v>1022.039268</v>
      </c>
      <c r="FB84" s="561">
        <f t="shared" si="976"/>
        <v>882.09517400000004</v>
      </c>
      <c r="FC84" s="561">
        <f t="shared" si="976"/>
        <v>600.80492700000002</v>
      </c>
      <c r="FD84" s="561">
        <f t="shared" si="976"/>
        <v>191.02466699999999</v>
      </c>
      <c r="FE84" s="583">
        <f t="shared" ref="FE84:FL84" si="977">FE60</f>
        <v>619.22332970760635</v>
      </c>
      <c r="FF84" s="561">
        <f t="shared" si="977"/>
        <v>346.74135165771514</v>
      </c>
      <c r="FG84" s="561">
        <f t="shared" si="977"/>
        <v>186.01275354016093</v>
      </c>
      <c r="FH84" s="562">
        <f t="shared" si="977"/>
        <v>103.33705616884588</v>
      </c>
      <c r="FI84" s="583">
        <f t="shared" si="977"/>
        <v>886.2598395120674</v>
      </c>
      <c r="FJ84" s="561">
        <f t="shared" si="977"/>
        <v>856.89336230332106</v>
      </c>
      <c r="FK84" s="561">
        <f t="shared" si="977"/>
        <v>461.71764120930118</v>
      </c>
      <c r="FL84" s="562">
        <f t="shared" si="977"/>
        <v>172.08663884548258</v>
      </c>
      <c r="FM84" s="703">
        <f t="shared" ref="FM84:FT84" si="978">FM60</f>
        <v>628.26773345849199</v>
      </c>
      <c r="FN84" s="704">
        <f t="shared" si="978"/>
        <v>272.69080756240197</v>
      </c>
      <c r="FO84" s="704">
        <f t="shared" si="978"/>
        <v>228.69296792011099</v>
      </c>
      <c r="FP84" s="173">
        <f t="shared" si="978"/>
        <v>106.62040564506199</v>
      </c>
      <c r="FQ84" s="703">
        <f t="shared" si="978"/>
        <v>942.54226631328697</v>
      </c>
      <c r="FR84" s="704">
        <f t="shared" si="978"/>
        <v>834.93071004734998</v>
      </c>
      <c r="FS84" s="704">
        <f t="shared" si="978"/>
        <v>470.25038258459603</v>
      </c>
      <c r="FT84" s="173">
        <f t="shared" si="978"/>
        <v>159.20930914959101</v>
      </c>
      <c r="FV84" s="170" t="s">
        <v>582</v>
      </c>
      <c r="FW84" s="623">
        <f t="shared" ref="FW84:GH84" si="979">FW60</f>
        <v>324.61224499999997</v>
      </c>
      <c r="FX84" s="619">
        <f t="shared" si="979"/>
        <v>153.49908099999999</v>
      </c>
      <c r="FY84" s="619">
        <f t="shared" si="979"/>
        <v>70.039323999999993</v>
      </c>
      <c r="FZ84" s="620">
        <f t="shared" si="979"/>
        <v>37.205210999999998</v>
      </c>
      <c r="GA84" s="623">
        <f t="shared" si="979"/>
        <v>272.66288301877734</v>
      </c>
      <c r="GB84" s="619">
        <f t="shared" si="979"/>
        <v>113.722670789364</v>
      </c>
      <c r="GC84" s="619">
        <f t="shared" si="979"/>
        <v>75.18984952217572</v>
      </c>
      <c r="GD84" s="620">
        <f t="shared" si="979"/>
        <v>22.008939815715397</v>
      </c>
      <c r="GE84" s="623">
        <f t="shared" si="979"/>
        <v>248.027960676189</v>
      </c>
      <c r="GF84" s="619">
        <f t="shared" si="979"/>
        <v>116.39391543978201</v>
      </c>
      <c r="GG84" s="619">
        <f t="shared" si="979"/>
        <v>112.076890497064</v>
      </c>
      <c r="GH84" s="620">
        <f t="shared" si="979"/>
        <v>22.913448686653279</v>
      </c>
      <c r="GJ84" s="170" t="s">
        <v>582</v>
      </c>
      <c r="GK84" s="561">
        <f t="shared" ref="GK84:GM84" si="980">GK60</f>
        <v>2216.4975749999999</v>
      </c>
      <c r="GL84" s="561">
        <f t="shared" si="980"/>
        <v>2078.4986029569859</v>
      </c>
      <c r="GM84" s="562">
        <f t="shared" si="980"/>
        <v>2117.0018064231799</v>
      </c>
      <c r="GO84" s="170" t="s">
        <v>582</v>
      </c>
      <c r="GP84" s="583">
        <f t="shared" ref="GP84:GX84" si="981">GP60</f>
        <v>1987.4991359999999</v>
      </c>
      <c r="GQ84" s="561">
        <f t="shared" si="981"/>
        <v>42.710541999999997</v>
      </c>
      <c r="GR84" s="562">
        <f t="shared" si="981"/>
        <v>186.28789699999999</v>
      </c>
      <c r="GS84" s="583">
        <f t="shared" si="981"/>
        <v>1787.6124926330845</v>
      </c>
      <c r="GT84" s="561">
        <f t="shared" si="981"/>
        <v>92.226829754870764</v>
      </c>
      <c r="GU84" s="562">
        <f t="shared" si="981"/>
        <v>198.65928056903047</v>
      </c>
      <c r="GV84" s="583">
        <f t="shared" si="981"/>
        <v>1779.0542329622899</v>
      </c>
      <c r="GW84" s="561">
        <f t="shared" si="981"/>
        <v>87.866069208819894</v>
      </c>
      <c r="GX84" s="562">
        <f t="shared" si="981"/>
        <v>250.08150425207299</v>
      </c>
      <c r="GZ84" s="170" t="s">
        <v>582</v>
      </c>
      <c r="HA84" s="583">
        <f t="shared" ref="HA84:HI84" si="982">HA60</f>
        <v>250.96920399999999</v>
      </c>
      <c r="HB84" s="561">
        <f t="shared" si="982"/>
        <v>1925.2894759999999</v>
      </c>
      <c r="HC84" s="562">
        <f t="shared" si="982"/>
        <v>40.238894999999957</v>
      </c>
      <c r="HD84" s="583">
        <f t="shared" si="982"/>
        <v>152.27202324315749</v>
      </c>
      <c r="HE84" s="561">
        <f t="shared" si="982"/>
        <v>1852.3727837963293</v>
      </c>
      <c r="HF84" s="562">
        <f t="shared" si="982"/>
        <v>73.853795917499156</v>
      </c>
      <c r="HG84" s="583">
        <f t="shared" si="982"/>
        <v>138.88378805569701</v>
      </c>
      <c r="HH84" s="561">
        <f t="shared" si="982"/>
        <v>1904.0980060484801</v>
      </c>
      <c r="HI84" s="562">
        <f t="shared" si="982"/>
        <v>74.020012319002717</v>
      </c>
      <c r="HK84" s="170" t="s">
        <v>582</v>
      </c>
      <c r="HL84" s="619">
        <f t="shared" ref="HL84:HO84" si="983">HL60</f>
        <v>1987.4991359999999</v>
      </c>
      <c r="HM84" s="619">
        <f t="shared" ref="HM84" si="984">HM60</f>
        <v>5020.7042929999998</v>
      </c>
      <c r="HN84" s="778">
        <f t="shared" si="477"/>
        <v>2.5261416229365343</v>
      </c>
      <c r="HO84" s="623">
        <f t="shared" si="983"/>
        <v>1787.6124926330845</v>
      </c>
      <c r="HP84" s="619">
        <f t="shared" ref="HP84" si="985">HP60</f>
        <v>4499.2136993220483</v>
      </c>
      <c r="HQ84" s="778">
        <f t="shared" si="479"/>
        <v>2.5168842340628754</v>
      </c>
      <c r="HR84" s="623">
        <f>HR60</f>
        <v>1779.0542329622899</v>
      </c>
      <c r="HS84" s="619">
        <f>HS60</f>
        <v>4773.5855398908898</v>
      </c>
      <c r="HT84" s="786">
        <f t="shared" si="480"/>
        <v>2.6832153013921491</v>
      </c>
      <c r="HV84" s="170" t="s">
        <v>582</v>
      </c>
      <c r="HW84" s="623">
        <f>HW60</f>
        <v>245.15905100000001</v>
      </c>
      <c r="HX84" s="619">
        <f>HX60</f>
        <v>989.45128299999999</v>
      </c>
      <c r="HY84" s="797">
        <f t="shared" si="481"/>
        <v>4.0359565717196384</v>
      </c>
      <c r="HZ84" s="619">
        <f>HZ60</f>
        <v>1702.101189</v>
      </c>
      <c r="IA84" s="619">
        <f>IA60</f>
        <v>3969.6613390000002</v>
      </c>
      <c r="IB84" s="797">
        <f t="shared" si="482"/>
        <v>2.3322123059747186</v>
      </c>
      <c r="IC84" s="623">
        <f>IC60</f>
        <v>148.92219404919868</v>
      </c>
      <c r="ID84" s="619">
        <f>ID60</f>
        <v>677.88046463713226</v>
      </c>
      <c r="IE84" s="797">
        <f t="shared" si="483"/>
        <v>4.5519102707631633</v>
      </c>
      <c r="IF84" s="619">
        <f>IF60</f>
        <v>1576.7557386940514</v>
      </c>
      <c r="IG84" s="619">
        <f>IG60</f>
        <v>3747.4794480824512</v>
      </c>
      <c r="IH84" s="778">
        <f t="shared" si="126"/>
        <v>2.3767025900830414</v>
      </c>
      <c r="II84" s="583">
        <f>II60</f>
        <v>131.93156331491099</v>
      </c>
      <c r="IJ84" s="561">
        <f>IJ60</f>
        <v>606.12874908029698</v>
      </c>
      <c r="IK84" s="790">
        <f t="shared" si="484"/>
        <v>4.5942664048747153</v>
      </c>
      <c r="IL84" s="561">
        <f>IL60</f>
        <v>1579.98118145747</v>
      </c>
      <c r="IM84" s="561">
        <f>IM60</f>
        <v>4086.6846883126</v>
      </c>
      <c r="IN84" s="779">
        <f t="shared" si="485"/>
        <v>2.5865401033085695</v>
      </c>
      <c r="IP84" s="170" t="s">
        <v>582</v>
      </c>
      <c r="IQ84" s="583">
        <f>IQ60</f>
        <v>877.67784900000004</v>
      </c>
      <c r="IR84" s="561">
        <f t="shared" ref="IR84:JH84" si="986">IR60</f>
        <v>168.59974199999999</v>
      </c>
      <c r="IS84" s="561">
        <f t="shared" si="986"/>
        <v>302.04321099999999</v>
      </c>
      <c r="IT84" s="561">
        <f t="shared" si="986"/>
        <v>366.92791799999998</v>
      </c>
      <c r="IU84" s="561">
        <f t="shared" si="986"/>
        <v>272.25041599999997</v>
      </c>
      <c r="IV84" s="561">
        <f t="shared" si="986"/>
        <v>5020.7042929999998</v>
      </c>
      <c r="IW84" s="703">
        <f t="shared" si="986"/>
        <v>769.22037977359071</v>
      </c>
      <c r="IX84" s="704">
        <f t="shared" si="986"/>
        <v>193.8047308527411</v>
      </c>
      <c r="IY84" s="704">
        <f t="shared" si="986"/>
        <v>256.45000173461153</v>
      </c>
      <c r="IZ84" s="704">
        <f t="shared" si="986"/>
        <v>341.89481537023772</v>
      </c>
      <c r="JA84" s="704">
        <f t="shared" si="986"/>
        <v>226.24256490190356</v>
      </c>
      <c r="JB84" s="173">
        <f t="shared" si="986"/>
        <v>4499.2136993220483</v>
      </c>
      <c r="JC84" s="703">
        <f t="shared" si="986"/>
        <v>655.699404405873</v>
      </c>
      <c r="JD84" s="704">
        <f t="shared" si="986"/>
        <v>231.89109723627399</v>
      </c>
      <c r="JE84" s="704">
        <f t="shared" si="986"/>
        <v>254.32211783640301</v>
      </c>
      <c r="JF84" s="704">
        <f t="shared" si="986"/>
        <v>363.46672959014302</v>
      </c>
      <c r="JG84" s="704">
        <f t="shared" si="986"/>
        <v>273.67488389359499</v>
      </c>
      <c r="JH84" s="173">
        <f t="shared" si="986"/>
        <v>4773.5855398908898</v>
      </c>
      <c r="JJ84" s="170" t="s">
        <v>582</v>
      </c>
      <c r="JK84" s="583">
        <f t="shared" ref="JK84:JV84" si="987">JK60</f>
        <v>680.57169199999998</v>
      </c>
      <c r="JL84" s="561">
        <f t="shared" si="987"/>
        <v>896.66918100000009</v>
      </c>
      <c r="JM84" s="561">
        <f t="shared" si="987"/>
        <v>340.342984</v>
      </c>
      <c r="JN84" s="562">
        <f t="shared" si="987"/>
        <v>69.915278000000001</v>
      </c>
      <c r="JO84" s="583">
        <f t="shared" si="987"/>
        <v>603.09635665492578</v>
      </c>
      <c r="JP84" s="561">
        <f t="shared" si="987"/>
        <v>880.66880014224944</v>
      </c>
      <c r="JQ84" s="561">
        <f t="shared" si="987"/>
        <v>242.51407915521759</v>
      </c>
      <c r="JR84" s="562">
        <f t="shared" si="987"/>
        <v>61.33325668069164</v>
      </c>
      <c r="JS84" s="583">
        <f t="shared" si="987"/>
        <v>652.29812115200502</v>
      </c>
      <c r="JT84" s="561">
        <f t="shared" si="987"/>
        <v>960.98443743825499</v>
      </c>
      <c r="JU84" s="561">
        <f t="shared" si="987"/>
        <v>104.971785668845</v>
      </c>
      <c r="JV84" s="562">
        <f t="shared" si="987"/>
        <v>60.799888703178702</v>
      </c>
      <c r="JX84" s="170" t="s">
        <v>582</v>
      </c>
      <c r="JY84" s="583">
        <f t="shared" ref="JY84:KB84" si="988">JY60</f>
        <v>551.53745975893401</v>
      </c>
      <c r="JZ84" s="561">
        <f t="shared" si="988"/>
        <v>553.93665305040497</v>
      </c>
      <c r="KA84" s="561">
        <f t="shared" si="988"/>
        <v>167.53226367536601</v>
      </c>
      <c r="KB84" s="562">
        <f t="shared" si="988"/>
        <v>506.04785647758303</v>
      </c>
      <c r="KC84" s="604"/>
      <c r="KD84" s="170" t="s">
        <v>582</v>
      </c>
      <c r="KE84" s="623">
        <f t="shared" ref="KE84:KV84" si="989">KE60</f>
        <v>6.9153814567119696</v>
      </c>
      <c r="KF84" s="619">
        <f t="shared" si="989"/>
        <v>5.22631758594048</v>
      </c>
      <c r="KG84" s="619">
        <f t="shared" si="989"/>
        <v>731.42340073102298</v>
      </c>
      <c r="KH84" s="619">
        <f t="shared" si="989"/>
        <v>395.56150666189001</v>
      </c>
      <c r="KI84" s="619">
        <f t="shared" si="989"/>
        <v>313.38321362387597</v>
      </c>
      <c r="KJ84" s="620">
        <f t="shared" si="989"/>
        <v>90.752299794748495</v>
      </c>
      <c r="KK84" s="623">
        <f t="shared" si="989"/>
        <v>7.1909666692765004</v>
      </c>
      <c r="KL84" s="619">
        <f t="shared" si="989"/>
        <v>0</v>
      </c>
      <c r="KM84" s="619">
        <f t="shared" si="989"/>
        <v>49.226523563720598</v>
      </c>
      <c r="KN84" s="619">
        <f t="shared" si="989"/>
        <v>63.985095853055903</v>
      </c>
      <c r="KO84" s="619">
        <f t="shared" si="989"/>
        <v>10.5090032954338</v>
      </c>
      <c r="KP84" s="620">
        <f t="shared" si="989"/>
        <v>1.0199739334245701</v>
      </c>
      <c r="KQ84" s="623">
        <f t="shared" si="989"/>
        <v>14.1063481259885</v>
      </c>
      <c r="KR84" s="619">
        <f t="shared" si="989"/>
        <v>5.22631758594048</v>
      </c>
      <c r="KS84" s="619">
        <f t="shared" si="989"/>
        <v>784.72982002844196</v>
      </c>
      <c r="KT84" s="619">
        <f t="shared" si="989"/>
        <v>489.22712275442501</v>
      </c>
      <c r="KU84" s="619">
        <f t="shared" si="989"/>
        <v>353.96047149812603</v>
      </c>
      <c r="KV84" s="620">
        <f t="shared" si="989"/>
        <v>95.085091366082096</v>
      </c>
      <c r="KW84" s="429"/>
      <c r="KX84" s="170" t="s">
        <v>582</v>
      </c>
      <c r="KY84" s="583">
        <f t="shared" ref="KY84:LA84" si="990">KY60</f>
        <v>572.02392899999995</v>
      </c>
      <c r="KZ84" s="561">
        <f t="shared" si="990"/>
        <v>1161.1751240000001</v>
      </c>
      <c r="LA84" s="562">
        <f t="shared" si="990"/>
        <v>256.30007999999998</v>
      </c>
      <c r="LB84" s="583">
        <f t="shared" ref="LB84:LD84" si="991">LB60</f>
        <v>584.74958279101565</v>
      </c>
      <c r="LC84" s="561">
        <f t="shared" si="991"/>
        <v>963.08532773724244</v>
      </c>
      <c r="LD84" s="562">
        <f t="shared" si="991"/>
        <v>235.77758523087746</v>
      </c>
      <c r="LE84" s="583">
        <f t="shared" ref="LE84:LG84" si="992">LE60</f>
        <v>501.83152580677302</v>
      </c>
      <c r="LF84" s="561">
        <f t="shared" si="992"/>
        <v>1022.8427405441799</v>
      </c>
      <c r="LG84" s="562">
        <f t="shared" si="992"/>
        <v>253.379965595947</v>
      </c>
      <c r="LH84" s="426"/>
      <c r="LI84" s="170" t="s">
        <v>582</v>
      </c>
      <c r="LJ84" s="583">
        <f t="shared" ref="LJ84:MA84" si="993">LJ60</f>
        <v>1218.8305760000001</v>
      </c>
      <c r="LK84" s="561">
        <f t="shared" si="993"/>
        <v>1020.140069</v>
      </c>
      <c r="LL84" s="561">
        <f t="shared" si="993"/>
        <v>198.690507</v>
      </c>
      <c r="LM84" s="561">
        <f t="shared" si="993"/>
        <v>1777.313911</v>
      </c>
      <c r="LN84" s="561">
        <f t="shared" si="993"/>
        <v>109.761089</v>
      </c>
      <c r="LO84" s="562">
        <f t="shared" si="993"/>
        <v>64.246257</v>
      </c>
      <c r="LP84" s="583">
        <f t="shared" si="993"/>
        <v>1270.7201482508824</v>
      </c>
      <c r="LQ84" s="561">
        <f t="shared" si="993"/>
        <v>938.58586759044204</v>
      </c>
      <c r="LR84" s="561">
        <f t="shared" si="993"/>
        <v>332.13428066044054</v>
      </c>
      <c r="LS84" s="561">
        <f t="shared" si="993"/>
        <v>1598.0691648750242</v>
      </c>
      <c r="LT84" s="561">
        <f t="shared" si="993"/>
        <v>85.668749272501373</v>
      </c>
      <c r="LU84" s="562">
        <f t="shared" si="993"/>
        <v>106.56532775530781</v>
      </c>
      <c r="LV84" s="583">
        <f t="shared" si="993"/>
        <v>1387.8869101411599</v>
      </c>
      <c r="LW84" s="561">
        <f t="shared" si="993"/>
        <v>1049.8578875129399</v>
      </c>
      <c r="LX84" s="561">
        <f t="shared" si="993"/>
        <v>338.02902262821999</v>
      </c>
      <c r="LY84" s="561">
        <f t="shared" si="993"/>
        <v>1510.3408380384301</v>
      </c>
      <c r="LZ84" s="561">
        <f t="shared" si="993"/>
        <v>61.118171041599197</v>
      </c>
      <c r="MA84" s="562">
        <f t="shared" si="993"/>
        <v>83.111783291079604</v>
      </c>
      <c r="MC84" s="170" t="s">
        <v>582</v>
      </c>
      <c r="MD84" s="583">
        <f t="shared" ref="MD84:MU84" si="994">MD60</f>
        <v>0</v>
      </c>
      <c r="ME84" s="561">
        <f t="shared" si="994"/>
        <v>20.830939000000001</v>
      </c>
      <c r="MF84" s="561">
        <f t="shared" si="994"/>
        <v>165.14854500000001</v>
      </c>
      <c r="MG84" s="561">
        <f t="shared" si="994"/>
        <v>292.15569900000003</v>
      </c>
      <c r="MH84" s="561">
        <f t="shared" si="994"/>
        <v>355.584721</v>
      </c>
      <c r="MI84" s="562">
        <f t="shared" si="994"/>
        <v>181.42017100000001</v>
      </c>
      <c r="MJ84" s="583">
        <f t="shared" si="994"/>
        <v>0</v>
      </c>
      <c r="MK84" s="561">
        <f t="shared" si="994"/>
        <v>6.2407007423278316</v>
      </c>
      <c r="ML84" s="561">
        <f t="shared" si="994"/>
        <v>122.62416668115192</v>
      </c>
      <c r="MM84" s="561">
        <f t="shared" si="994"/>
        <v>244.14768608578373</v>
      </c>
      <c r="MN84" s="561">
        <f t="shared" si="994"/>
        <v>340.54973009148</v>
      </c>
      <c r="MO84" s="562">
        <f t="shared" si="994"/>
        <v>207.02359805692743</v>
      </c>
      <c r="MP84" s="583">
        <f t="shared" si="994"/>
        <v>0</v>
      </c>
      <c r="MQ84" s="561">
        <f t="shared" si="994"/>
        <v>8.1597914673965803</v>
      </c>
      <c r="MR84" s="561">
        <f t="shared" si="994"/>
        <v>166.50204989122301</v>
      </c>
      <c r="MS84" s="561">
        <f t="shared" si="994"/>
        <v>341.71275905497998</v>
      </c>
      <c r="MT84" s="561">
        <f t="shared" si="994"/>
        <v>325.72103179399198</v>
      </c>
      <c r="MU84" s="562">
        <f t="shared" si="994"/>
        <v>179.76222687456701</v>
      </c>
      <c r="MW84" s="170" t="s">
        <v>582</v>
      </c>
      <c r="MX84" s="623">
        <f t="shared" ref="MX84:NF84" si="995">MX60</f>
        <v>1024.700662</v>
      </c>
      <c r="MY84" s="619">
        <f t="shared" si="995"/>
        <v>969.80442900000003</v>
      </c>
      <c r="MZ84" s="619">
        <f t="shared" si="995"/>
        <v>54.896233000000002</v>
      </c>
      <c r="NA84" s="623">
        <f t="shared" si="995"/>
        <v>947.36595489671481</v>
      </c>
      <c r="NB84" s="619">
        <f t="shared" si="995"/>
        <v>905.08034711136997</v>
      </c>
      <c r="NC84" s="620">
        <f t="shared" si="995"/>
        <v>42.285607785344808</v>
      </c>
      <c r="ND84" s="623">
        <f t="shared" si="995"/>
        <v>1063.8102995500701</v>
      </c>
      <c r="NE84" s="619">
        <f t="shared" si="995"/>
        <v>1042.4395624030401</v>
      </c>
      <c r="NF84" s="620">
        <f t="shared" si="995"/>
        <v>21.370737147022702</v>
      </c>
      <c r="NH84" s="170" t="s">
        <v>582</v>
      </c>
      <c r="NI84" s="623">
        <f t="shared" ref="NI84:NR84" si="996">NI60</f>
        <v>695.58142427521614</v>
      </c>
      <c r="NJ84" s="620">
        <f t="shared" si="996"/>
        <v>209.49892283615372</v>
      </c>
      <c r="NK84" s="623">
        <f t="shared" si="996"/>
        <v>32.644767119715624</v>
      </c>
      <c r="NL84" s="619">
        <f t="shared" si="996"/>
        <v>8.6408414471419182</v>
      </c>
      <c r="NM84" s="620">
        <f t="shared" si="996"/>
        <v>0.99999921848726903</v>
      </c>
      <c r="NN84" s="623">
        <f t="shared" si="996"/>
        <v>805.54347391733302</v>
      </c>
      <c r="NO84" s="620">
        <f t="shared" si="996"/>
        <v>236.89608848571018</v>
      </c>
      <c r="NP84" s="623">
        <f t="shared" si="996"/>
        <v>11.1198486774725</v>
      </c>
      <c r="NQ84" s="619">
        <f t="shared" si="996"/>
        <v>10.250888469550199</v>
      </c>
      <c r="NR84" s="620">
        <f t="shared" si="996"/>
        <v>0</v>
      </c>
      <c r="NS84" s="136"/>
      <c r="NT84" s="170" t="s">
        <v>582</v>
      </c>
      <c r="NU84" s="623">
        <f t="shared" ref="NU84:OB84" si="997">NU60</f>
        <v>101.94771093315239</v>
      </c>
      <c r="NV84" s="619">
        <f t="shared" si="997"/>
        <v>21.850241541379571</v>
      </c>
      <c r="NW84" s="619">
        <f t="shared" si="997"/>
        <v>11.952878341470283</v>
      </c>
      <c r="NX84" s="620">
        <f t="shared" si="997"/>
        <v>73.748092020151475</v>
      </c>
      <c r="NY84" s="623">
        <f t="shared" si="997"/>
        <v>128.76055124458699</v>
      </c>
      <c r="NZ84" s="619">
        <f t="shared" si="997"/>
        <v>27.262462832755102</v>
      </c>
      <c r="OA84" s="619">
        <f t="shared" si="997"/>
        <v>0</v>
      </c>
      <c r="OB84" s="620">
        <f t="shared" si="997"/>
        <v>80.873074408368097</v>
      </c>
      <c r="OC84" s="553"/>
      <c r="OD84" s="170" t="s">
        <v>582</v>
      </c>
      <c r="OE84" s="583">
        <f t="shared" ref="OE84:OR84" si="998">OE60</f>
        <v>52.993058444484902</v>
      </c>
      <c r="OF84" s="561">
        <f t="shared" si="998"/>
        <v>69.172681572209996</v>
      </c>
      <c r="OG84" s="561">
        <f t="shared" si="998"/>
        <v>87.292523595564205</v>
      </c>
      <c r="OH84" s="561">
        <f t="shared" si="998"/>
        <v>81.593244466793294</v>
      </c>
      <c r="OI84" s="561">
        <f t="shared" si="998"/>
        <v>1548.0299960369</v>
      </c>
      <c r="OJ84" s="561">
        <f t="shared" si="998"/>
        <v>218.98474204230601</v>
      </c>
      <c r="OK84" s="562">
        <f t="shared" si="998"/>
        <v>65.205025355667999</v>
      </c>
      <c r="OL84" s="583">
        <f t="shared" si="998"/>
        <v>73.763492701666806</v>
      </c>
      <c r="OM84" s="561">
        <f t="shared" si="998"/>
        <v>72.929809008919605</v>
      </c>
      <c r="ON84" s="561">
        <f t="shared" si="998"/>
        <v>87.292523595564205</v>
      </c>
      <c r="OO84" s="561">
        <f t="shared" si="998"/>
        <v>88.641037368927599</v>
      </c>
      <c r="OP84" s="561">
        <f t="shared" si="998"/>
        <v>1705.9020940523999</v>
      </c>
      <c r="OQ84" s="561">
        <f t="shared" si="998"/>
        <v>358.53089455278899</v>
      </c>
      <c r="OR84" s="562">
        <f t="shared" si="998"/>
        <v>1316.85972147499</v>
      </c>
      <c r="OT84" s="170" t="s">
        <v>582</v>
      </c>
      <c r="OU84" s="583">
        <f t="shared" ref="OU84:PF84" si="999">OU60</f>
        <v>522.29091599999992</v>
      </c>
      <c r="OV84" s="561">
        <f t="shared" si="999"/>
        <v>432.687814</v>
      </c>
      <c r="OW84" s="561">
        <f t="shared" si="999"/>
        <v>247.81045900000001</v>
      </c>
      <c r="OX84" s="562">
        <f t="shared" si="999"/>
        <v>466.052074</v>
      </c>
      <c r="OY84" s="583">
        <f t="shared" si="999"/>
        <v>398.30376751875258</v>
      </c>
      <c r="OZ84" s="561">
        <f t="shared" si="999"/>
        <v>396.8580783576183</v>
      </c>
      <c r="PA84" s="561">
        <f t="shared" si="999"/>
        <v>336.2093842001612</v>
      </c>
      <c r="PB84" s="562">
        <f t="shared" si="999"/>
        <v>458.36599498632472</v>
      </c>
      <c r="PC84" s="583">
        <f t="shared" si="999"/>
        <v>281.7647710997955</v>
      </c>
      <c r="PD84" s="561">
        <f t="shared" si="999"/>
        <v>396.67000744834201</v>
      </c>
      <c r="PE84" s="561">
        <f t="shared" si="999"/>
        <v>287.57923484108198</v>
      </c>
      <c r="PF84" s="562">
        <f t="shared" si="999"/>
        <v>590.10672615821295</v>
      </c>
      <c r="PH84" s="170" t="s">
        <v>582</v>
      </c>
      <c r="PI84" s="623">
        <f t="shared" ref="PI84:PP84" si="1000">PI60</f>
        <v>115.1568951996815</v>
      </c>
      <c r="PJ84" s="619">
        <f t="shared" si="1000"/>
        <v>181.33837405518599</v>
      </c>
      <c r="PK84" s="619">
        <f t="shared" si="1000"/>
        <v>122.54094780657999</v>
      </c>
      <c r="PL84" s="620">
        <f t="shared" si="1000"/>
        <v>272.54165423373388</v>
      </c>
      <c r="PM84" s="623">
        <f t="shared" si="1000"/>
        <v>166.6078759001141</v>
      </c>
      <c r="PN84" s="619">
        <f t="shared" si="1000"/>
        <v>215.33163339315499</v>
      </c>
      <c r="PO84" s="619">
        <f t="shared" si="1000"/>
        <v>165.03828703450199</v>
      </c>
      <c r="PP84" s="620">
        <f t="shared" si="1000"/>
        <v>317.5650719244785</v>
      </c>
      <c r="PQ84" s="65"/>
      <c r="PR84" s="1029" t="s">
        <v>582</v>
      </c>
      <c r="PS84" s="1044">
        <f t="shared" ref="PS84:PW84" si="1001">PS60</f>
        <v>39.779043928668202</v>
      </c>
      <c r="PT84" s="1045">
        <f t="shared" si="1001"/>
        <v>79.158642664437195</v>
      </c>
      <c r="PU84" s="1045">
        <f t="shared" si="1001"/>
        <v>47.4279756033674</v>
      </c>
      <c r="PV84" s="1045">
        <f t="shared" si="1001"/>
        <v>12.2261530378029</v>
      </c>
      <c r="PW84" s="1039">
        <f t="shared" si="1001"/>
        <v>672.71407936582204</v>
      </c>
      <c r="PX84" s="1040">
        <f t="shared" ref="PX84" si="1002">PX60</f>
        <v>184.50437651918801</v>
      </c>
      <c r="PZ84" s="1029" t="s">
        <v>582</v>
      </c>
      <c r="QA84" s="1044">
        <f t="shared" ref="QA84:QF84" si="1003">QA60</f>
        <v>642.55775113376706</v>
      </c>
      <c r="QB84" s="1045">
        <f t="shared" si="1003"/>
        <v>421.25254841629902</v>
      </c>
      <c r="QC84" s="1045">
        <f t="shared" si="1003"/>
        <v>343.43724177985001</v>
      </c>
      <c r="QD84" s="1045">
        <f t="shared" ref="QD84" si="1004">QD60</f>
        <v>21.758532025600001</v>
      </c>
      <c r="QE84" s="1045">
        <f t="shared" si="1003"/>
        <v>56.056774610848102</v>
      </c>
      <c r="QF84" s="1046">
        <f t="shared" si="1003"/>
        <v>0</v>
      </c>
    </row>
    <row r="85" spans="1:448" ht="13.5" customHeight="1">
      <c r="A85" s="136"/>
      <c r="B85" s="170" t="s">
        <v>583</v>
      </c>
      <c r="C85" s="573">
        <f t="shared" ref="C85" si="1005">C61</f>
        <v>1793.551187</v>
      </c>
      <c r="D85" s="561">
        <f t="shared" ref="D85:E85" si="1006">D61</f>
        <v>2020.9411941483124</v>
      </c>
      <c r="E85" s="562">
        <f t="shared" si="1006"/>
        <v>1610.22552966949</v>
      </c>
      <c r="F85" s="136"/>
      <c r="G85" s="170" t="s">
        <v>583</v>
      </c>
      <c r="H85" s="135">
        <f t="shared" si="447"/>
        <v>2.4160401608027904E-2</v>
      </c>
      <c r="I85" s="668">
        <f t="shared" si="448"/>
        <v>-4.4420979626847545E-2</v>
      </c>
      <c r="J85" s="612"/>
      <c r="K85" s="63"/>
      <c r="L85" s="170" t="s">
        <v>583</v>
      </c>
      <c r="M85" s="584">
        <f t="shared" ref="M85:T85" si="1007">M61</f>
        <v>37</v>
      </c>
      <c r="N85" s="573">
        <f t="shared" si="1007"/>
        <v>26</v>
      </c>
      <c r="O85" s="573">
        <f t="shared" si="1007"/>
        <v>28</v>
      </c>
      <c r="P85" s="573">
        <f t="shared" si="1007"/>
        <v>38</v>
      </c>
      <c r="Q85" s="573">
        <f t="shared" si="1007"/>
        <v>29</v>
      </c>
      <c r="R85" s="573">
        <f t="shared" si="1007"/>
        <v>28</v>
      </c>
      <c r="S85" s="573">
        <f t="shared" si="1007"/>
        <v>31</v>
      </c>
      <c r="T85" s="573">
        <f t="shared" si="1007"/>
        <v>35</v>
      </c>
      <c r="U85" s="561">
        <f t="shared" ref="U85:V85" si="1008">U61</f>
        <v>25</v>
      </c>
      <c r="V85" s="561">
        <f t="shared" si="1008"/>
        <v>28</v>
      </c>
      <c r="W85" s="562">
        <f t="shared" ref="W85" si="1009">W61</f>
        <v>24</v>
      </c>
      <c r="X85" s="170" t="s">
        <v>583</v>
      </c>
      <c r="Y85" s="584">
        <f t="shared" si="960"/>
        <v>31.5</v>
      </c>
      <c r="Z85" s="573">
        <f t="shared" si="960"/>
        <v>33</v>
      </c>
      <c r="AA85" s="573">
        <f t="shared" si="960"/>
        <v>28.5</v>
      </c>
      <c r="AB85" s="573">
        <f t="shared" si="960"/>
        <v>33</v>
      </c>
      <c r="AC85" s="1206">
        <f t="shared" ref="AC85" si="1010">AC61</f>
        <v>33</v>
      </c>
      <c r="AD85" s="336">
        <f t="shared" si="98"/>
        <v>4.7619047619047616E-2</v>
      </c>
      <c r="AE85" s="336">
        <f t="shared" si="99"/>
        <v>-0.13636363636363635</v>
      </c>
      <c r="AF85" s="336">
        <f t="shared" si="100"/>
        <v>0.15789473684210525</v>
      </c>
      <c r="AG85" s="1217">
        <f t="shared" si="101"/>
        <v>0</v>
      </c>
      <c r="AN85" s="170" t="s">
        <v>583</v>
      </c>
      <c r="AO85" s="584">
        <f t="shared" ref="AO85:AV85" si="1011">AO61</f>
        <v>0</v>
      </c>
      <c r="AP85" s="573">
        <f t="shared" si="1011"/>
        <v>17.566074</v>
      </c>
      <c r="AQ85" s="573">
        <f t="shared" si="1011"/>
        <v>50.521135999999998</v>
      </c>
      <c r="AR85" s="573">
        <f t="shared" si="1011"/>
        <v>197.37734499999999</v>
      </c>
      <c r="AS85" s="573">
        <f t="shared" si="1011"/>
        <v>331.80374499999999</v>
      </c>
      <c r="AT85" s="573">
        <f t="shared" si="1011"/>
        <v>196.41190900000001</v>
      </c>
      <c r="AU85" s="573">
        <f t="shared" si="1011"/>
        <v>398.50344899999999</v>
      </c>
      <c r="AV85" s="585">
        <f t="shared" si="1011"/>
        <v>319.785954</v>
      </c>
      <c r="AW85" s="584">
        <f t="shared" ref="AW85:BD85" si="1012">AW61</f>
        <v>0</v>
      </c>
      <c r="AX85" s="573">
        <f t="shared" si="1012"/>
        <v>38.43568589689734</v>
      </c>
      <c r="AY85" s="573">
        <f t="shared" si="1012"/>
        <v>47.600324268818753</v>
      </c>
      <c r="AZ85" s="573">
        <f t="shared" si="1012"/>
        <v>120.23425561770668</v>
      </c>
      <c r="BA85" s="573">
        <f t="shared" si="1012"/>
        <v>418.5542379517712</v>
      </c>
      <c r="BB85" s="573">
        <f t="shared" si="1012"/>
        <v>272.73037858550123</v>
      </c>
      <c r="BC85" s="573">
        <f t="shared" si="1012"/>
        <v>215.98929376250476</v>
      </c>
      <c r="BD85" s="585">
        <f t="shared" si="1012"/>
        <v>410.49298638333823</v>
      </c>
      <c r="BE85" s="584">
        <f t="shared" ref="BE85:BL85" si="1013">BE61</f>
        <v>0</v>
      </c>
      <c r="BF85" s="573">
        <f t="shared" si="1013"/>
        <v>11.459449900817001</v>
      </c>
      <c r="BG85" s="573">
        <f t="shared" si="1013"/>
        <v>38.282512571987802</v>
      </c>
      <c r="BH85" s="573">
        <f t="shared" si="1013"/>
        <v>168.293773739258</v>
      </c>
      <c r="BI85" s="573">
        <f t="shared" si="1013"/>
        <v>267.73120682469198</v>
      </c>
      <c r="BJ85" s="573">
        <f t="shared" si="1013"/>
        <v>266.912569581811</v>
      </c>
      <c r="BK85" s="573">
        <f t="shared" si="1013"/>
        <v>256.43622667183598</v>
      </c>
      <c r="BL85" s="585">
        <f t="shared" si="1013"/>
        <v>362.64946469818699</v>
      </c>
      <c r="BN85" s="170" t="s">
        <v>583</v>
      </c>
      <c r="BO85" s="584">
        <f t="shared" ref="BO85:BT85" si="1014">BO61</f>
        <v>279.58157699999998</v>
      </c>
      <c r="BP85" s="573">
        <f t="shared" si="1014"/>
        <v>587.51813700000002</v>
      </c>
      <c r="BQ85" s="573">
        <f t="shared" si="1014"/>
        <v>303.45650000000001</v>
      </c>
      <c r="BR85" s="573">
        <f t="shared" si="1014"/>
        <v>210.748752</v>
      </c>
      <c r="BS85" s="573">
        <f t="shared" si="1014"/>
        <v>249.153819</v>
      </c>
      <c r="BT85" s="585">
        <f t="shared" si="1014"/>
        <v>163.09240199999999</v>
      </c>
      <c r="BU85" s="584">
        <f t="shared" ref="BU85:BZ85" si="1015">BU61</f>
        <v>492.90403480782521</v>
      </c>
      <c r="BV85" s="573">
        <f t="shared" si="1015"/>
        <v>558.3578460096511</v>
      </c>
      <c r="BW85" s="573">
        <f t="shared" si="1015"/>
        <v>383.43516096235328</v>
      </c>
      <c r="BX85" s="573">
        <f t="shared" si="1015"/>
        <v>335.78423229295572</v>
      </c>
      <c r="BY85" s="573">
        <f t="shared" si="1015"/>
        <v>127.45029321139272</v>
      </c>
      <c r="BZ85" s="585">
        <f t="shared" si="1015"/>
        <v>123.00962686413426</v>
      </c>
      <c r="CA85" s="584">
        <f t="shared" ref="CA85:CF85" si="1016">CA61</f>
        <v>238.46032568090399</v>
      </c>
      <c r="CB85" s="573">
        <f t="shared" si="1016"/>
        <v>491.51813771464498</v>
      </c>
      <c r="CC85" s="573">
        <f t="shared" si="1016"/>
        <v>238.96626373391399</v>
      </c>
      <c r="CD85" s="573">
        <f t="shared" si="1016"/>
        <v>331.48099708944397</v>
      </c>
      <c r="CE85" s="573">
        <f t="shared" si="1016"/>
        <v>215.41041803953499</v>
      </c>
      <c r="CF85" s="585">
        <f t="shared" si="1016"/>
        <v>94.389387411050905</v>
      </c>
      <c r="CG85" s="429"/>
      <c r="CH85" s="170" t="s">
        <v>583</v>
      </c>
      <c r="CI85" s="584">
        <f t="shared" ref="CI85:CK85" si="1017">CI61</f>
        <v>418.47748000000001</v>
      </c>
      <c r="CJ85" s="573">
        <f t="shared" si="1017"/>
        <v>1022.1799099999999</v>
      </c>
      <c r="CK85" s="573">
        <f t="shared" si="1017"/>
        <v>352.893798</v>
      </c>
      <c r="CL85" s="584">
        <f t="shared" ref="CL85:CN85" si="1018">CL61</f>
        <v>654.34027362350275</v>
      </c>
      <c r="CM85" s="573">
        <f t="shared" si="1018"/>
        <v>1162.9549518061899</v>
      </c>
      <c r="CN85" s="573">
        <f t="shared" si="1018"/>
        <v>203.64596871861983</v>
      </c>
      <c r="CO85" s="584">
        <f t="shared" ref="CO85:CQ85" si="1019">CO61</f>
        <v>426.68923524562098</v>
      </c>
      <c r="CP85" s="573">
        <f t="shared" si="1019"/>
        <v>972.98064004908804</v>
      </c>
      <c r="CQ85" s="585">
        <f t="shared" si="1019"/>
        <v>210.55565437478401</v>
      </c>
      <c r="CR85" s="429"/>
      <c r="DG85" s="170" t="s">
        <v>583</v>
      </c>
      <c r="DH85" s="829"/>
      <c r="DI85" s="830"/>
      <c r="DJ85" s="830"/>
      <c r="DK85" s="830"/>
      <c r="DL85" s="830"/>
      <c r="DM85" s="831"/>
      <c r="DO85" s="170" t="s">
        <v>583</v>
      </c>
      <c r="DP85" s="704">
        <f t="shared" ref="DP85:DR85" si="1020">DP61</f>
        <v>979.17720699999995</v>
      </c>
      <c r="DQ85" s="337">
        <f t="shared" si="1020"/>
        <v>1004.584457628158</v>
      </c>
      <c r="DR85" s="173">
        <f t="shared" si="1020"/>
        <v>985.39370143561098</v>
      </c>
      <c r="DS85" s="63"/>
      <c r="DT85" s="170" t="s">
        <v>583</v>
      </c>
      <c r="DU85" s="584">
        <f t="shared" ref="DU85:DW85" si="1021">DU61</f>
        <v>1762.5512249999999</v>
      </c>
      <c r="DV85" s="573">
        <f t="shared" si="1021"/>
        <v>2004.941206652516</v>
      </c>
      <c r="DW85" s="585">
        <f t="shared" si="1021"/>
        <v>1610.22552966949</v>
      </c>
      <c r="DX85" s="63"/>
      <c r="DY85" s="170" t="s">
        <v>583</v>
      </c>
      <c r="DZ85" s="1094">
        <f t="shared" si="410"/>
        <v>1.8000329382667095</v>
      </c>
      <c r="EA85" s="791">
        <f t="shared" si="411"/>
        <v>1.9957915846978345</v>
      </c>
      <c r="EB85" s="780">
        <f t="shared" si="412"/>
        <v>1.6340935885053531</v>
      </c>
      <c r="ED85" s="541"/>
      <c r="EE85" s="170" t="s">
        <v>583</v>
      </c>
      <c r="EF85" s="584">
        <f t="shared" ref="EF85:EJ85" si="1022">EF61</f>
        <v>504.04804799999999</v>
      </c>
      <c r="EG85" s="573">
        <f t="shared" si="1022"/>
        <v>22.387481000000001</v>
      </c>
      <c r="EH85" s="573">
        <f t="shared" si="1022"/>
        <v>225.12669500000001</v>
      </c>
      <c r="EI85" s="573">
        <f t="shared" si="1022"/>
        <v>134.427819</v>
      </c>
      <c r="EJ85" s="573">
        <f t="shared" si="1022"/>
        <v>93.187163999999996</v>
      </c>
      <c r="EK85" s="584">
        <f t="shared" ref="EK85:EO85" si="1023">EK61</f>
        <v>518.14092281747958</v>
      </c>
      <c r="EL85" s="573">
        <f t="shared" si="1023"/>
        <v>22.558512717721683</v>
      </c>
      <c r="EM85" s="573">
        <f t="shared" si="1023"/>
        <v>120.09139675142148</v>
      </c>
      <c r="EN85" s="573">
        <f t="shared" si="1023"/>
        <v>162.20425383982692</v>
      </c>
      <c r="EO85" s="573">
        <f t="shared" si="1023"/>
        <v>181.58937150170846</v>
      </c>
      <c r="EP85" s="584">
        <f t="shared" ref="EP85:ET85" si="1024">EP61</f>
        <v>618.00486956540999</v>
      </c>
      <c r="EQ85" s="573">
        <f t="shared" si="1024"/>
        <v>15.255173017895</v>
      </c>
      <c r="ER85" s="573">
        <f t="shared" si="1024"/>
        <v>127.74236313545801</v>
      </c>
      <c r="ES85" s="573">
        <f t="shared" si="1024"/>
        <v>111.777880569941</v>
      </c>
      <c r="ET85" s="585">
        <f t="shared" si="1024"/>
        <v>112.613415146907</v>
      </c>
      <c r="EV85" s="170" t="s">
        <v>583</v>
      </c>
      <c r="EW85" s="584">
        <f t="shared" ref="EW85:FD85" si="1025">EW61</f>
        <v>222.55596399999999</v>
      </c>
      <c r="EX85" s="573">
        <f t="shared" si="1025"/>
        <v>126.41457</v>
      </c>
      <c r="EY85" s="573">
        <f t="shared" si="1025"/>
        <v>102.01535</v>
      </c>
      <c r="EZ85" s="573">
        <f t="shared" si="1025"/>
        <v>52.062165</v>
      </c>
      <c r="FA85" s="584">
        <f t="shared" si="1025"/>
        <v>427.27794499999999</v>
      </c>
      <c r="FB85" s="573">
        <f t="shared" si="1025"/>
        <v>606.96461599999998</v>
      </c>
      <c r="FC85" s="573">
        <f t="shared" si="1025"/>
        <v>382.58481499999999</v>
      </c>
      <c r="FD85" s="573">
        <f t="shared" si="1025"/>
        <v>91.142241999999996</v>
      </c>
      <c r="FE85" s="583">
        <f t="shared" ref="FE85:FL85" si="1026">FE61</f>
        <v>156.2853326777074</v>
      </c>
      <c r="FF85" s="561">
        <f t="shared" si="1026"/>
        <v>194.19255985264471</v>
      </c>
      <c r="FG85" s="561">
        <f t="shared" si="1026"/>
        <v>128.8229110629311</v>
      </c>
      <c r="FH85" s="562">
        <f t="shared" si="1026"/>
        <v>38.840119224196442</v>
      </c>
      <c r="FI85" s="583">
        <f t="shared" si="1026"/>
        <v>389.69013222511353</v>
      </c>
      <c r="FJ85" s="561">
        <f t="shared" si="1026"/>
        <v>785.07220674354517</v>
      </c>
      <c r="FK85" s="561">
        <f t="shared" si="1026"/>
        <v>274.60620084891968</v>
      </c>
      <c r="FL85" s="562">
        <f t="shared" si="1026"/>
        <v>74.668622648959655</v>
      </c>
      <c r="FM85" s="703">
        <f t="shared" ref="FM85:FT85" si="1027">FM61</f>
        <v>221.89058728007299</v>
      </c>
      <c r="FN85" s="704">
        <f t="shared" si="1027"/>
        <v>152.97285055739499</v>
      </c>
      <c r="FO85" s="704">
        <f t="shared" si="1027"/>
        <v>207.95020788820801</v>
      </c>
      <c r="FP85" s="173">
        <f t="shared" si="1027"/>
        <v>35.191223839733901</v>
      </c>
      <c r="FQ85" s="703">
        <f t="shared" si="1027"/>
        <v>407.847045357794</v>
      </c>
      <c r="FR85" s="704">
        <f t="shared" si="1027"/>
        <v>565.54736772226295</v>
      </c>
      <c r="FS85" s="704">
        <f t="shared" si="1027"/>
        <v>334.97003449422698</v>
      </c>
      <c r="FT85" s="173">
        <f t="shared" si="1027"/>
        <v>63.400756414304503</v>
      </c>
      <c r="FV85" s="170" t="s">
        <v>583</v>
      </c>
      <c r="FW85" s="584">
        <f t="shared" ref="FW85:GH85" si="1028">FW61</f>
        <v>238.70415800000001</v>
      </c>
      <c r="FX85" s="573">
        <f t="shared" si="1028"/>
        <v>133.33829800000001</v>
      </c>
      <c r="FY85" s="573">
        <f t="shared" si="1028"/>
        <v>67.440040999999994</v>
      </c>
      <c r="FZ85" s="585">
        <f t="shared" si="1028"/>
        <v>22.069198999999998</v>
      </c>
      <c r="GA85" s="584">
        <f t="shared" si="1028"/>
        <v>152.42912807244056</v>
      </c>
      <c r="GB85" s="573">
        <f t="shared" si="1028"/>
        <v>114.07648447668764</v>
      </c>
      <c r="GC85" s="573">
        <f t="shared" si="1028"/>
        <v>129.17501560406728</v>
      </c>
      <c r="GD85" s="585">
        <f t="shared" si="1028"/>
        <v>71.462806888792443</v>
      </c>
      <c r="GE85" s="584">
        <f t="shared" si="1028"/>
        <v>135.602595596578</v>
      </c>
      <c r="GF85" s="573">
        <f t="shared" si="1028"/>
        <v>116.815376600565</v>
      </c>
      <c r="GG85" s="573">
        <f t="shared" si="1028"/>
        <v>80.615540226183597</v>
      </c>
      <c r="GH85" s="585">
        <f t="shared" si="1028"/>
        <v>22.9122863107252</v>
      </c>
      <c r="GJ85" s="170" t="s">
        <v>583</v>
      </c>
      <c r="GK85" s="573">
        <f t="shared" ref="GK85:GM85" si="1029">GK61</f>
        <v>1094.9988020000001</v>
      </c>
      <c r="GL85" s="573">
        <f t="shared" si="1029"/>
        <v>1103.9992149038435</v>
      </c>
      <c r="GM85" s="585">
        <f t="shared" si="1029"/>
        <v>1108.00100055299</v>
      </c>
      <c r="GO85" s="170" t="s">
        <v>583</v>
      </c>
      <c r="GP85" s="584">
        <f t="shared" ref="GP85:GX85" si="1030">GP61</f>
        <v>982.17720299999996</v>
      </c>
      <c r="GQ85" s="573">
        <f t="shared" si="1030"/>
        <v>12.255103</v>
      </c>
      <c r="GR85" s="585">
        <f t="shared" si="1030"/>
        <v>100.566496</v>
      </c>
      <c r="GS85" s="584">
        <f t="shared" si="1030"/>
        <v>1004.584457628158</v>
      </c>
      <c r="GT85" s="573">
        <f t="shared" si="1030"/>
        <v>12.680859848571655</v>
      </c>
      <c r="GU85" s="585">
        <f t="shared" si="1030"/>
        <v>86.733897427113604</v>
      </c>
      <c r="GV85" s="584">
        <f t="shared" si="1030"/>
        <v>985.39370143561098</v>
      </c>
      <c r="GW85" s="573">
        <f t="shared" si="1030"/>
        <v>33.022747610659003</v>
      </c>
      <c r="GX85" s="585">
        <f t="shared" si="1030"/>
        <v>89.584551506716096</v>
      </c>
      <c r="GY85" s="573"/>
      <c r="GZ85" s="170" t="s">
        <v>583</v>
      </c>
      <c r="HA85" s="584">
        <f t="shared" ref="HA85:HI85" si="1031">HA61</f>
        <v>14.710430000000001</v>
      </c>
      <c r="HB85" s="573">
        <f t="shared" si="1031"/>
        <v>1067.4764640000001</v>
      </c>
      <c r="HC85" s="585">
        <f t="shared" si="1031"/>
        <v>12.811907999999903</v>
      </c>
      <c r="HD85" s="584">
        <f t="shared" si="1031"/>
        <v>13.083166021752801</v>
      </c>
      <c r="HE85" s="573">
        <f t="shared" si="1031"/>
        <v>1043.0785477137113</v>
      </c>
      <c r="HF85" s="585">
        <f t="shared" si="1031"/>
        <v>47.837501168379504</v>
      </c>
      <c r="HG85" s="584">
        <f t="shared" si="1031"/>
        <v>0</v>
      </c>
      <c r="HH85" s="573">
        <f t="shared" si="1031"/>
        <v>1100.1145480534401</v>
      </c>
      <c r="HI85" s="585">
        <f t="shared" si="1031"/>
        <v>7.8864524995499323</v>
      </c>
      <c r="HK85" s="170" t="s">
        <v>583</v>
      </c>
      <c r="HL85" s="573">
        <f t="shared" ref="HL85:HO85" si="1032">HL61</f>
        <v>982.17720299999996</v>
      </c>
      <c r="HM85" s="573">
        <f t="shared" ref="HM85" si="1033">HM61</f>
        <v>2908.7737010000001</v>
      </c>
      <c r="HN85" s="780">
        <f t="shared" si="477"/>
        <v>2.9615569289485943</v>
      </c>
      <c r="HO85" s="584">
        <f t="shared" si="1032"/>
        <v>1004.584457628158</v>
      </c>
      <c r="HP85" s="573">
        <f t="shared" ref="HP85" si="1034">HP61</f>
        <v>3115.8368131013258</v>
      </c>
      <c r="HQ85" s="780">
        <f t="shared" si="479"/>
        <v>3.101617578732875</v>
      </c>
      <c r="HR85" s="573">
        <f>HR61</f>
        <v>985.39370143561098</v>
      </c>
      <c r="HS85" s="573">
        <f>HS61</f>
        <v>2796.6649470154598</v>
      </c>
      <c r="HT85" s="784">
        <f t="shared" si="480"/>
        <v>2.8381193658342085</v>
      </c>
      <c r="HV85" s="170" t="s">
        <v>583</v>
      </c>
      <c r="HW85" s="584">
        <f>HW61</f>
        <v>13.469538999999999</v>
      </c>
      <c r="HX85" s="573">
        <f>HX61</f>
        <v>67.347696999999997</v>
      </c>
      <c r="HY85" s="791">
        <v>0</v>
      </c>
      <c r="HZ85" s="573">
        <f>HZ61</f>
        <v>955.89575600000001</v>
      </c>
      <c r="IA85" s="573">
        <f>IA61</f>
        <v>2811.5227</v>
      </c>
      <c r="IB85" s="791">
        <f t="shared" si="482"/>
        <v>2.941244045025345</v>
      </c>
      <c r="IC85" s="584">
        <f>IC61</f>
        <v>13.083166021752801</v>
      </c>
      <c r="ID85" s="573">
        <f>ID61</f>
        <v>55.63347071775042</v>
      </c>
      <c r="IE85" s="791">
        <f t="shared" si="483"/>
        <v>4.2522941790428339</v>
      </c>
      <c r="IF85" s="573">
        <f>IF61</f>
        <v>950.42694033389137</v>
      </c>
      <c r="IG85" s="573">
        <f>IG61</f>
        <v>3009.0925965764618</v>
      </c>
      <c r="IH85" s="790">
        <f t="shared" si="126"/>
        <v>3.1660430369527903</v>
      </c>
      <c r="II85" s="584">
        <f>II61</f>
        <v>0</v>
      </c>
      <c r="IJ85" s="573">
        <f>IJ61</f>
        <v>0</v>
      </c>
      <c r="IK85" s="791"/>
      <c r="IL85" s="573">
        <f>IL61</f>
        <v>977.50724893606196</v>
      </c>
      <c r="IM85" s="573">
        <f>IM61</f>
        <v>2784.72059866278</v>
      </c>
      <c r="IN85" s="780">
        <f t="shared" si="485"/>
        <v>2.848797900674112</v>
      </c>
      <c r="IP85" s="170" t="s">
        <v>583</v>
      </c>
      <c r="IQ85" s="584">
        <f>IQ61</f>
        <v>263.71814699999999</v>
      </c>
      <c r="IR85" s="573">
        <f t="shared" ref="IR85:JH85" si="1035">IR61</f>
        <v>87.252861999999993</v>
      </c>
      <c r="IS85" s="573">
        <f t="shared" si="1035"/>
        <v>227.477847</v>
      </c>
      <c r="IT85" s="573">
        <f t="shared" si="1035"/>
        <v>271.14991400000002</v>
      </c>
      <c r="IU85" s="573">
        <f t="shared" si="1035"/>
        <v>132.57843399999999</v>
      </c>
      <c r="IV85" s="573">
        <f t="shared" si="1035"/>
        <v>2908.7737010000001</v>
      </c>
      <c r="IW85" s="703">
        <f t="shared" si="1035"/>
        <v>310.63087353297254</v>
      </c>
      <c r="IX85" s="704">
        <f t="shared" si="1035"/>
        <v>80.457050940773513</v>
      </c>
      <c r="IY85" s="704">
        <f t="shared" si="1035"/>
        <v>133.06453798217933</v>
      </c>
      <c r="IZ85" s="704">
        <f t="shared" si="1035"/>
        <v>281.24273908684887</v>
      </c>
      <c r="JA85" s="704">
        <f t="shared" si="1035"/>
        <v>199.1892560853839</v>
      </c>
      <c r="JB85" s="173">
        <f t="shared" si="1035"/>
        <v>3115.8368131013258</v>
      </c>
      <c r="JC85" s="703">
        <f t="shared" si="1035"/>
        <v>310.36898964051699</v>
      </c>
      <c r="JD85" s="704">
        <f t="shared" si="1035"/>
        <v>52.394607622543099</v>
      </c>
      <c r="JE85" s="704">
        <f t="shared" si="1035"/>
        <v>243.68247142821099</v>
      </c>
      <c r="JF85" s="704">
        <f t="shared" si="1035"/>
        <v>286.36012545770001</v>
      </c>
      <c r="JG85" s="704">
        <f t="shared" si="1035"/>
        <v>92.587507286639806</v>
      </c>
      <c r="JH85" s="173">
        <f t="shared" si="1035"/>
        <v>2796.6649470154598</v>
      </c>
      <c r="JJ85" s="170" t="s">
        <v>583</v>
      </c>
      <c r="JK85" s="584">
        <f t="shared" ref="JK85:JV85" si="1036">JK61</f>
        <v>217.46010899999999</v>
      </c>
      <c r="JL85" s="573">
        <f t="shared" si="1036"/>
        <v>402.94943100000006</v>
      </c>
      <c r="JM85" s="573">
        <f t="shared" si="1036"/>
        <v>349.02047099999999</v>
      </c>
      <c r="JN85" s="585">
        <f t="shared" si="1036"/>
        <v>12.747192</v>
      </c>
      <c r="JO85" s="584">
        <f t="shared" si="1036"/>
        <v>14.877754937127582</v>
      </c>
      <c r="JP85" s="573">
        <f t="shared" si="1036"/>
        <v>254.67049692319586</v>
      </c>
      <c r="JQ85" s="573">
        <f t="shared" si="1036"/>
        <v>726.5622957254219</v>
      </c>
      <c r="JR85" s="585">
        <f t="shared" si="1036"/>
        <v>8.4739100424128413</v>
      </c>
      <c r="JS85" s="584">
        <f t="shared" si="1036"/>
        <v>39.153416443547499</v>
      </c>
      <c r="JT85" s="573">
        <f t="shared" si="1036"/>
        <v>319.74050498388397</v>
      </c>
      <c r="JU85" s="573">
        <f t="shared" si="1036"/>
        <v>621.54783504723798</v>
      </c>
      <c r="JV85" s="585">
        <f t="shared" si="1036"/>
        <v>4.9519449609414199</v>
      </c>
      <c r="JX85" s="170" t="s">
        <v>583</v>
      </c>
      <c r="JY85" s="584">
        <f t="shared" ref="JY85:KB85" si="1037">JY61</f>
        <v>299.29629410795798</v>
      </c>
      <c r="JZ85" s="573">
        <f t="shared" si="1037"/>
        <v>218.598589531702</v>
      </c>
      <c r="KA85" s="573">
        <f t="shared" si="1037"/>
        <v>158.631448800687</v>
      </c>
      <c r="KB85" s="562">
        <f t="shared" si="1037"/>
        <v>308.86736899526301</v>
      </c>
      <c r="KC85" s="604"/>
      <c r="KD85" s="170" t="s">
        <v>583</v>
      </c>
      <c r="KE85" s="584">
        <f t="shared" ref="KE85:KV85" si="1038">KE61</f>
        <v>0</v>
      </c>
      <c r="KF85" s="573">
        <f t="shared" si="1038"/>
        <v>4.9519449609414199</v>
      </c>
      <c r="KG85" s="573">
        <f t="shared" si="1038"/>
        <v>618.25438465086597</v>
      </c>
      <c r="KH85" s="573">
        <f t="shared" si="1038"/>
        <v>198.491917639294</v>
      </c>
      <c r="KI85" s="573">
        <f t="shared" si="1038"/>
        <v>148.15188839213101</v>
      </c>
      <c r="KJ85" s="585">
        <f t="shared" si="1038"/>
        <v>7.6571132928301697</v>
      </c>
      <c r="KK85" s="584">
        <f t="shared" si="1038"/>
        <v>0</v>
      </c>
      <c r="KL85" s="573">
        <f t="shared" si="1038"/>
        <v>0</v>
      </c>
      <c r="KM85" s="573">
        <f t="shared" si="1038"/>
        <v>0</v>
      </c>
      <c r="KN85" s="573">
        <f t="shared" si="1038"/>
        <v>0</v>
      </c>
      <c r="KO85" s="573">
        <f t="shared" si="1038"/>
        <v>0</v>
      </c>
      <c r="KP85" s="585">
        <f t="shared" si="1038"/>
        <v>0</v>
      </c>
      <c r="KQ85" s="584">
        <f t="shared" si="1038"/>
        <v>0</v>
      </c>
      <c r="KR85" s="573">
        <f t="shared" si="1038"/>
        <v>4.9519449609414199</v>
      </c>
      <c r="KS85" s="573">
        <f t="shared" si="1038"/>
        <v>622.31228050399898</v>
      </c>
      <c r="KT85" s="573">
        <f t="shared" si="1038"/>
        <v>202.320474285709</v>
      </c>
      <c r="KU85" s="573">
        <f t="shared" si="1038"/>
        <v>148.15188839213101</v>
      </c>
      <c r="KV85" s="585">
        <f t="shared" si="1038"/>
        <v>7.6571132928301697</v>
      </c>
      <c r="KW85" s="429"/>
      <c r="KX85" s="170" t="s">
        <v>583</v>
      </c>
      <c r="KY85" s="584">
        <f t="shared" ref="KY85:LA85" si="1039">KY61</f>
        <v>289.31641100000002</v>
      </c>
      <c r="KZ85" s="573">
        <f t="shared" si="1039"/>
        <v>495.38608199999999</v>
      </c>
      <c r="LA85" s="585">
        <f t="shared" si="1039"/>
        <v>194.47471400000001</v>
      </c>
      <c r="LB85" s="584">
        <f t="shared" ref="LB85:LD85" si="1040">LB61</f>
        <v>351.97898380746972</v>
      </c>
      <c r="LC85" s="573">
        <f t="shared" si="1040"/>
        <v>527.41531702967916</v>
      </c>
      <c r="LD85" s="585">
        <f t="shared" si="1040"/>
        <v>125.19015679100919</v>
      </c>
      <c r="LE85" s="584">
        <f t="shared" ref="LE85:LG85" si="1041">LE61</f>
        <v>319.98510226158601</v>
      </c>
      <c r="LF85" s="573">
        <f t="shared" si="1041"/>
        <v>539.98633796070897</v>
      </c>
      <c r="LG85" s="585">
        <f t="shared" si="1041"/>
        <v>125.42226121331601</v>
      </c>
      <c r="LH85" s="426"/>
      <c r="LI85" s="170" t="s">
        <v>583</v>
      </c>
      <c r="LJ85" s="584">
        <f t="shared" ref="LJ85:MA85" si="1042">LJ61</f>
        <v>800.25768000000005</v>
      </c>
      <c r="LK85" s="573">
        <f t="shared" si="1042"/>
        <v>668.79748400000005</v>
      </c>
      <c r="LL85" s="573">
        <f t="shared" si="1042"/>
        <v>131.460196</v>
      </c>
      <c r="LM85" s="573">
        <f t="shared" si="1042"/>
        <v>226.76627999999999</v>
      </c>
      <c r="LN85" s="573">
        <f t="shared" si="1042"/>
        <v>66.898122000000001</v>
      </c>
      <c r="LO85" s="585">
        <f t="shared" si="1042"/>
        <v>67.153728999999998</v>
      </c>
      <c r="LP85" s="584">
        <f t="shared" si="1042"/>
        <v>932.70471534855119</v>
      </c>
      <c r="LQ85" s="573">
        <f t="shared" si="1042"/>
        <v>665.01622525547145</v>
      </c>
      <c r="LR85" s="573">
        <f t="shared" si="1042"/>
        <v>267.68849009307968</v>
      </c>
      <c r="LS85" s="573">
        <f t="shared" si="1042"/>
        <v>255.37143584112647</v>
      </c>
      <c r="LT85" s="573">
        <f t="shared" si="1042"/>
        <v>28.547165898507149</v>
      </c>
      <c r="LU85" s="585">
        <f t="shared" si="1042"/>
        <v>107.76787353368259</v>
      </c>
      <c r="LV85" s="584">
        <f t="shared" si="1042"/>
        <v>766.39554242219504</v>
      </c>
      <c r="LW85" s="573">
        <f t="shared" si="1042"/>
        <v>622.96021307163699</v>
      </c>
      <c r="LX85" s="573">
        <f t="shared" si="1042"/>
        <v>143.43532935055799</v>
      </c>
      <c r="LY85" s="573">
        <f t="shared" si="1042"/>
        <v>258.10905931665098</v>
      </c>
      <c r="LZ85" s="573">
        <f t="shared" si="1042"/>
        <v>72.729855006651604</v>
      </c>
      <c r="MA85" s="585">
        <f t="shared" si="1042"/>
        <v>63.975092868307598</v>
      </c>
      <c r="MC85" s="170" t="s">
        <v>583</v>
      </c>
      <c r="MD85" s="584">
        <f t="shared" ref="MD85:MU85" si="1043">MD61</f>
        <v>0</v>
      </c>
      <c r="ME85" s="573">
        <f t="shared" si="1043"/>
        <v>17.566074</v>
      </c>
      <c r="MF85" s="573">
        <f t="shared" si="1043"/>
        <v>43.983505999999998</v>
      </c>
      <c r="MG85" s="573">
        <f t="shared" si="1043"/>
        <v>173.972611</v>
      </c>
      <c r="MH85" s="573">
        <f t="shared" si="1043"/>
        <v>272.01772299999999</v>
      </c>
      <c r="MI85" s="585">
        <f t="shared" si="1043"/>
        <v>166.257564</v>
      </c>
      <c r="MJ85" s="584">
        <f t="shared" si="1043"/>
        <v>0</v>
      </c>
      <c r="MK85" s="573">
        <f t="shared" si="1043"/>
        <v>31.039202110041678</v>
      </c>
      <c r="ML85" s="573">
        <f t="shared" si="1043"/>
        <v>38.084602302649706</v>
      </c>
      <c r="MM85" s="573">
        <f t="shared" si="1043"/>
        <v>103.73998410550246</v>
      </c>
      <c r="MN85" s="573">
        <f t="shared" si="1043"/>
        <v>321.49529323686522</v>
      </c>
      <c r="MO85" s="585">
        <f t="shared" si="1043"/>
        <v>169.6571442819251</v>
      </c>
      <c r="MP85" s="584">
        <f t="shared" si="1043"/>
        <v>0</v>
      </c>
      <c r="MQ85" s="573">
        <f t="shared" si="1043"/>
        <v>11.459449900817001</v>
      </c>
      <c r="MR85" s="573">
        <f t="shared" si="1043"/>
        <v>34.470372690241199</v>
      </c>
      <c r="MS85" s="573">
        <f t="shared" si="1043"/>
        <v>132.73603604667801</v>
      </c>
      <c r="MT85" s="573">
        <f t="shared" si="1043"/>
        <v>227.47056227781499</v>
      </c>
      <c r="MU85" s="585">
        <f t="shared" si="1043"/>
        <v>216.823792156086</v>
      </c>
      <c r="MW85" s="170" t="s">
        <v>583</v>
      </c>
      <c r="MX85" s="584">
        <f t="shared" ref="MX85:NF85" si="1044">MX61</f>
        <v>677.32990400000006</v>
      </c>
      <c r="MY85" s="573">
        <f t="shared" si="1044"/>
        <v>654.27398400000004</v>
      </c>
      <c r="MZ85" s="573">
        <f t="shared" si="1044"/>
        <v>23.055918999999999</v>
      </c>
      <c r="NA85" s="584">
        <f t="shared" si="1044"/>
        <v>668.27463820450248</v>
      </c>
      <c r="NB85" s="573">
        <f t="shared" si="1044"/>
        <v>632.56614986451882</v>
      </c>
      <c r="NC85" s="585">
        <f t="shared" si="1044"/>
        <v>35.708488339983681</v>
      </c>
      <c r="ND85" s="584">
        <f t="shared" si="1044"/>
        <v>630.58449283513005</v>
      </c>
      <c r="NE85" s="573">
        <f t="shared" si="1044"/>
        <v>604.29542808991698</v>
      </c>
      <c r="NF85" s="585">
        <f t="shared" si="1044"/>
        <v>26.289064745213</v>
      </c>
      <c r="NH85" s="170" t="s">
        <v>583</v>
      </c>
      <c r="NI85" s="584">
        <f t="shared" ref="NI85:NR85" si="1045">NI61</f>
        <v>504.94486447424532</v>
      </c>
      <c r="NJ85" s="585">
        <f t="shared" si="1045"/>
        <v>127.62128539027348</v>
      </c>
      <c r="NK85" s="584">
        <f t="shared" si="1045"/>
        <v>16.3327401633051</v>
      </c>
      <c r="NL85" s="573">
        <f t="shared" si="1045"/>
        <v>9.7311269018266593</v>
      </c>
      <c r="NM85" s="585">
        <f t="shared" si="1045"/>
        <v>9.6446212748519198</v>
      </c>
      <c r="NN85" s="584">
        <f t="shared" si="1045"/>
        <v>454.06192009496698</v>
      </c>
      <c r="NO85" s="585">
        <f t="shared" si="1045"/>
        <v>150.23350799495023</v>
      </c>
      <c r="NP85" s="584">
        <f t="shared" si="1045"/>
        <v>8.7280615305000193</v>
      </c>
      <c r="NQ85" s="573">
        <f t="shared" si="1045"/>
        <v>15.3142265856603</v>
      </c>
      <c r="NR85" s="585">
        <f t="shared" si="1045"/>
        <v>2.2467766290526701</v>
      </c>
      <c r="NS85" s="136"/>
      <c r="NT85" s="170" t="s">
        <v>583</v>
      </c>
      <c r="NU85" s="584">
        <f t="shared" ref="NU85:OB85" si="1046">NU61</f>
        <v>67.802335184814822</v>
      </c>
      <c r="NV85" s="573">
        <f t="shared" si="1046"/>
        <v>20.37722587629829</v>
      </c>
      <c r="NW85" s="573">
        <f t="shared" si="1046"/>
        <v>9.8600262105095293</v>
      </c>
      <c r="NX85" s="585">
        <f t="shared" si="1046"/>
        <v>29.581698118650852</v>
      </c>
      <c r="NY85" s="584">
        <f t="shared" si="1046"/>
        <v>76.341584933543004</v>
      </c>
      <c r="NZ85" s="573">
        <f t="shared" si="1046"/>
        <v>34.286462605348603</v>
      </c>
      <c r="OA85" s="573">
        <f t="shared" si="1046"/>
        <v>1.1233883145263399</v>
      </c>
      <c r="OB85" s="585">
        <f t="shared" si="1046"/>
        <v>38.482072141532299</v>
      </c>
      <c r="OC85" s="553"/>
      <c r="OD85" s="170" t="s">
        <v>583</v>
      </c>
      <c r="OE85" s="584">
        <f t="shared" ref="OE85:OR85" si="1047">OE61</f>
        <v>23.125208752775102</v>
      </c>
      <c r="OF85" s="573">
        <f t="shared" si="1047"/>
        <v>69.349406219897205</v>
      </c>
      <c r="OG85" s="573">
        <f t="shared" si="1047"/>
        <v>57.254378775781099</v>
      </c>
      <c r="OH85" s="573">
        <f t="shared" si="1047"/>
        <v>62.0659593077445</v>
      </c>
      <c r="OI85" s="573">
        <f t="shared" si="1047"/>
        <v>263.34356008829599</v>
      </c>
      <c r="OJ85" s="573">
        <f t="shared" si="1047"/>
        <v>19.093532938069799</v>
      </c>
      <c r="OK85" s="585">
        <f t="shared" si="1047"/>
        <v>7.6144764897333701</v>
      </c>
      <c r="OL85" s="584">
        <f t="shared" si="1047"/>
        <v>62.023322504647702</v>
      </c>
      <c r="OM85" s="573">
        <f t="shared" si="1047"/>
        <v>88.672278364685496</v>
      </c>
      <c r="ON85" s="573">
        <f t="shared" si="1047"/>
        <v>57.254378775781099</v>
      </c>
      <c r="OO85" s="573">
        <f t="shared" si="1047"/>
        <v>62.0659593077445</v>
      </c>
      <c r="OP85" s="573">
        <f t="shared" si="1047"/>
        <v>345.78108605005002</v>
      </c>
      <c r="OQ85" s="573">
        <f t="shared" si="1047"/>
        <v>83.671092356850494</v>
      </c>
      <c r="OR85" s="585">
        <f t="shared" si="1047"/>
        <v>880.24706627394301</v>
      </c>
      <c r="OT85" s="170" t="s">
        <v>583</v>
      </c>
      <c r="OU85" s="584">
        <f t="shared" ref="OU85:PF85" si="1048">OU61</f>
        <v>420.132385</v>
      </c>
      <c r="OV85" s="573">
        <f t="shared" si="1048"/>
        <v>367.10132900000002</v>
      </c>
      <c r="OW85" s="573">
        <f t="shared" si="1048"/>
        <v>207.616288</v>
      </c>
      <c r="OX85" s="585">
        <f t="shared" si="1048"/>
        <v>198.142123</v>
      </c>
      <c r="OY85" s="584">
        <f t="shared" si="1048"/>
        <v>419.12682053285687</v>
      </c>
      <c r="OZ85" s="573">
        <f t="shared" si="1048"/>
        <v>344.71571867758178</v>
      </c>
      <c r="PA85" s="573">
        <f t="shared" si="1048"/>
        <v>215.65058798608919</v>
      </c>
      <c r="PB85" s="585">
        <f t="shared" si="1048"/>
        <v>193.235215664891</v>
      </c>
      <c r="PC85" s="584">
        <f t="shared" si="1048"/>
        <v>313.72957189844772</v>
      </c>
      <c r="PD85" s="573">
        <f t="shared" si="1048"/>
        <v>338.10279155766898</v>
      </c>
      <c r="PE85" s="573">
        <f t="shared" si="1048"/>
        <v>187.937240798538</v>
      </c>
      <c r="PF85" s="585">
        <f t="shared" si="1048"/>
        <v>179.87807091009009</v>
      </c>
      <c r="PH85" s="170" t="s">
        <v>583</v>
      </c>
      <c r="PI85" s="584">
        <f t="shared" ref="PI85:PP85" si="1049">PI61</f>
        <v>135.61072273750341</v>
      </c>
      <c r="PJ85" s="573">
        <f t="shared" si="1049"/>
        <v>168.797360638713</v>
      </c>
      <c r="PK85" s="573">
        <f t="shared" si="1049"/>
        <v>72.425482998013393</v>
      </c>
      <c r="PL85" s="585">
        <f t="shared" si="1049"/>
        <v>85.893038369708393</v>
      </c>
      <c r="PM85" s="584">
        <f t="shared" si="1049"/>
        <v>178.11884916094431</v>
      </c>
      <c r="PN85" s="573">
        <f t="shared" si="1049"/>
        <v>169.30543091895601</v>
      </c>
      <c r="PO85" s="573">
        <f t="shared" si="1049"/>
        <v>115.511757800525</v>
      </c>
      <c r="PP85" s="585">
        <f t="shared" si="1049"/>
        <v>93.98503254038161</v>
      </c>
      <c r="PQ85" s="65"/>
      <c r="PR85" s="1029" t="s">
        <v>583</v>
      </c>
      <c r="PS85" s="1038">
        <f t="shared" ref="PS85:PW85" si="1050">PS61</f>
        <v>7.8700357348801502</v>
      </c>
      <c r="PT85" s="1039">
        <f t="shared" si="1050"/>
        <v>24.874778048074699</v>
      </c>
      <c r="PU85" s="1039">
        <f t="shared" si="1050"/>
        <v>24.3800670753376</v>
      </c>
      <c r="PV85" s="1039">
        <f t="shared" si="1050"/>
        <v>7.6242797634930701</v>
      </c>
      <c r="PW85" s="1039">
        <f t="shared" si="1050"/>
        <v>465.04841060991203</v>
      </c>
      <c r="PX85" s="1040">
        <f t="shared" ref="PX85" si="1051">PX61</f>
        <v>100.786921603433</v>
      </c>
      <c r="PZ85" s="1029" t="s">
        <v>583</v>
      </c>
      <c r="QA85" s="1038">
        <f t="shared" ref="QA85:QF85" si="1052">QA61</f>
        <v>387.34587056388602</v>
      </c>
      <c r="QB85" s="1039">
        <f t="shared" si="1052"/>
        <v>243.238622271244</v>
      </c>
      <c r="QC85" s="1039">
        <f t="shared" si="1052"/>
        <v>209.08613528206001</v>
      </c>
      <c r="QD85" s="1039">
        <f t="shared" ref="QD85" si="1053">QD61</f>
        <v>22.922089584484901</v>
      </c>
      <c r="QE85" s="1039">
        <f t="shared" si="1052"/>
        <v>11.230397404699501</v>
      </c>
      <c r="QF85" s="1040">
        <f t="shared" si="1052"/>
        <v>0</v>
      </c>
    </row>
    <row r="86" spans="1:448" ht="13.5" customHeight="1">
      <c r="A86" s="136"/>
      <c r="B86" s="170" t="s">
        <v>603</v>
      </c>
      <c r="C86" s="573">
        <f t="shared" ref="C86" si="1054">C62+C63+C64</f>
        <v>7133.8185510000003</v>
      </c>
      <c r="D86" s="561">
        <f t="shared" ref="D86:E86" si="1055">D62+D63+D64</f>
        <v>6887.4135934832902</v>
      </c>
      <c r="E86" s="562">
        <f t="shared" si="1055"/>
        <v>6704.0612728927299</v>
      </c>
      <c r="F86" s="136"/>
      <c r="G86" s="170" t="s">
        <v>603</v>
      </c>
      <c r="H86" s="135">
        <f t="shared" si="447"/>
        <v>-7.0055505645705285E-3</v>
      </c>
      <c r="I86" s="668">
        <f t="shared" si="448"/>
        <v>-5.38189067408823E-3</v>
      </c>
      <c r="J86" s="612"/>
      <c r="K86" s="63"/>
      <c r="L86" s="170" t="s">
        <v>603</v>
      </c>
      <c r="M86" s="584">
        <f t="shared" ref="M86:T86" si="1056">M62+M63+M64</f>
        <v>128</v>
      </c>
      <c r="N86" s="573">
        <f t="shared" si="1056"/>
        <v>103</v>
      </c>
      <c r="O86" s="573">
        <f t="shared" si="1056"/>
        <v>109</v>
      </c>
      <c r="P86" s="573">
        <f t="shared" si="1056"/>
        <v>109</v>
      </c>
      <c r="Q86" s="573">
        <f t="shared" si="1056"/>
        <v>110</v>
      </c>
      <c r="R86" s="573">
        <f t="shared" si="1056"/>
        <v>107</v>
      </c>
      <c r="S86" s="573">
        <f t="shared" si="1056"/>
        <v>116</v>
      </c>
      <c r="T86" s="573">
        <f t="shared" si="1056"/>
        <v>116</v>
      </c>
      <c r="U86" s="561">
        <f t="shared" ref="U86:V86" si="1057">U62+U63+U64</f>
        <v>77</v>
      </c>
      <c r="V86" s="561">
        <f t="shared" si="1057"/>
        <v>94</v>
      </c>
      <c r="W86" s="562">
        <f t="shared" ref="W86" si="1058">W62+W63+W64</f>
        <v>108</v>
      </c>
      <c r="X86" s="170" t="s">
        <v>603</v>
      </c>
      <c r="Y86" s="584">
        <f t="shared" ref="Y86:AB86" si="1059">Y62+Y63+Y64</f>
        <v>115.5</v>
      </c>
      <c r="Z86" s="573">
        <f t="shared" si="1059"/>
        <v>109</v>
      </c>
      <c r="AA86" s="573">
        <f t="shared" si="1059"/>
        <v>108.5</v>
      </c>
      <c r="AB86" s="573">
        <f t="shared" si="1059"/>
        <v>116</v>
      </c>
      <c r="AC86" s="1206">
        <f t="shared" ref="AC86" si="1060">AC62+AC63+AC64</f>
        <v>116</v>
      </c>
      <c r="AD86" s="336">
        <f t="shared" si="98"/>
        <v>-5.627705627705628E-2</v>
      </c>
      <c r="AE86" s="336">
        <f t="shared" si="99"/>
        <v>-4.5871559633027525E-3</v>
      </c>
      <c r="AF86" s="336">
        <f t="shared" si="100"/>
        <v>6.9124423963133647E-2</v>
      </c>
      <c r="AG86" s="1217">
        <f t="shared" si="101"/>
        <v>0</v>
      </c>
      <c r="AN86" s="170" t="s">
        <v>603</v>
      </c>
      <c r="AO86" s="584">
        <f t="shared" ref="AO86:AV86" si="1061">AO62+AO63+AO64</f>
        <v>3.2943009999999999</v>
      </c>
      <c r="AP86" s="573">
        <f t="shared" si="1061"/>
        <v>70.078017000000003</v>
      </c>
      <c r="AQ86" s="573">
        <f t="shared" si="1061"/>
        <v>277.937071</v>
      </c>
      <c r="AR86" s="573">
        <f t="shared" si="1061"/>
        <v>697.915211</v>
      </c>
      <c r="AS86" s="573">
        <f t="shared" si="1061"/>
        <v>1308.8578480000001</v>
      </c>
      <c r="AT86" s="573">
        <f t="shared" si="1061"/>
        <v>1145.372652</v>
      </c>
      <c r="AU86" s="573">
        <f t="shared" si="1061"/>
        <v>1538.4550060000001</v>
      </c>
      <c r="AV86" s="585">
        <f t="shared" si="1061"/>
        <v>946.61985700000002</v>
      </c>
      <c r="AW86" s="584">
        <f t="shared" ref="AW86:BD86" si="1062">AW62+AW63+AW64</f>
        <v>1.0463452253212999</v>
      </c>
      <c r="AX86" s="573">
        <f t="shared" si="1062"/>
        <v>69.507568972159618</v>
      </c>
      <c r="AY86" s="573">
        <f t="shared" si="1062"/>
        <v>278.90498495514214</v>
      </c>
      <c r="AZ86" s="573">
        <f t="shared" si="1062"/>
        <v>636.68582948069138</v>
      </c>
      <c r="BA86" s="573">
        <f t="shared" si="1062"/>
        <v>1173.2397339600509</v>
      </c>
      <c r="BB86" s="573">
        <f t="shared" si="1062"/>
        <v>1005.6733491417554</v>
      </c>
      <c r="BC86" s="573">
        <f t="shared" si="1062"/>
        <v>1748.8888658726303</v>
      </c>
      <c r="BD86" s="585">
        <f t="shared" si="1062"/>
        <v>944.79349877621291</v>
      </c>
      <c r="BE86" s="584">
        <f t="shared" ref="BE86:BL86" si="1063">BE62+BE63+BE64</f>
        <v>3.6666937980988399</v>
      </c>
      <c r="BF86" s="573">
        <f t="shared" si="1063"/>
        <v>98.75020691068471</v>
      </c>
      <c r="BG86" s="573">
        <f t="shared" si="1063"/>
        <v>276.48228036490372</v>
      </c>
      <c r="BH86" s="573">
        <f t="shared" si="1063"/>
        <v>678.10566341036099</v>
      </c>
      <c r="BI86" s="573">
        <f t="shared" si="1063"/>
        <v>1035.3786739815889</v>
      </c>
      <c r="BJ86" s="573">
        <f t="shared" si="1063"/>
        <v>838.33077427781609</v>
      </c>
      <c r="BK86" s="573">
        <f t="shared" si="1063"/>
        <v>1626.1789425270422</v>
      </c>
      <c r="BL86" s="585">
        <f t="shared" si="1063"/>
        <v>1139.9323019304341</v>
      </c>
      <c r="BN86" s="170" t="s">
        <v>603</v>
      </c>
      <c r="BO86" s="584">
        <f t="shared" ref="BO86:BT86" si="1064">BO62+BO63+BO64</f>
        <v>1142.2885900000001</v>
      </c>
      <c r="BP86" s="573">
        <f t="shared" si="1064"/>
        <v>1608.6499260000001</v>
      </c>
      <c r="BQ86" s="573">
        <f t="shared" si="1064"/>
        <v>1483.6899060000001</v>
      </c>
      <c r="BR86" s="573">
        <f t="shared" si="1064"/>
        <v>1287.8353970000001</v>
      </c>
      <c r="BS86" s="573">
        <f t="shared" si="1064"/>
        <v>998.21087299999999</v>
      </c>
      <c r="BT86" s="585">
        <f t="shared" si="1064"/>
        <v>613.14385900000002</v>
      </c>
      <c r="BU86" s="584">
        <f t="shared" ref="BU86:BZ86" si="1065">BU62+BU63+BU64</f>
        <v>1028.6734170993257</v>
      </c>
      <c r="BV86" s="573">
        <f t="shared" si="1065"/>
        <v>1319.4538579656241</v>
      </c>
      <c r="BW86" s="573">
        <f t="shared" si="1065"/>
        <v>1326.823017827749</v>
      </c>
      <c r="BX86" s="573">
        <f t="shared" si="1065"/>
        <v>1301.2779450754572</v>
      </c>
      <c r="BY86" s="573">
        <f t="shared" si="1065"/>
        <v>1158.4177485321502</v>
      </c>
      <c r="BZ86" s="585">
        <f t="shared" si="1065"/>
        <v>752.76760698298324</v>
      </c>
      <c r="CA86" s="584">
        <f t="shared" ref="CA86:CF86" si="1066">CA62+CA63+CA64</f>
        <v>1004.235732645653</v>
      </c>
      <c r="CB86" s="573">
        <f t="shared" si="1066"/>
        <v>1397.427844450448</v>
      </c>
      <c r="CC86" s="573">
        <f t="shared" si="1066"/>
        <v>1229.2297748305868</v>
      </c>
      <c r="CD86" s="573">
        <f t="shared" si="1066"/>
        <v>1165.4507219738609</v>
      </c>
      <c r="CE86" s="573">
        <f t="shared" si="1066"/>
        <v>1177.427202737957</v>
      </c>
      <c r="CF86" s="585">
        <f t="shared" si="1066"/>
        <v>730.28999625423307</v>
      </c>
      <c r="CG86" s="429"/>
      <c r="CH86" s="170" t="s">
        <v>603</v>
      </c>
      <c r="CI86" s="584">
        <f t="shared" ref="CI86:CK86" si="1067">CI62+CI63+CI64</f>
        <v>1486.910005</v>
      </c>
      <c r="CJ86" s="573">
        <f t="shared" si="1067"/>
        <v>4442.1284150000001</v>
      </c>
      <c r="CK86" s="573">
        <f t="shared" si="1067"/>
        <v>1204.780133</v>
      </c>
      <c r="CL86" s="584">
        <f t="shared" ref="CL86:CN86" si="1068">CL62+CL63+CL64</f>
        <v>1327.1339973427064</v>
      </c>
      <c r="CM86" s="573">
        <f t="shared" si="1068"/>
        <v>4187.2708512339541</v>
      </c>
      <c r="CN86" s="573">
        <f t="shared" si="1068"/>
        <v>1373.0087449066293</v>
      </c>
      <c r="CO86" s="584">
        <f t="shared" ref="CO86:CQ86" si="1069">CO62+CO63+CO64</f>
        <v>1274.440490389175</v>
      </c>
      <c r="CP86" s="573">
        <f t="shared" si="1069"/>
        <v>3907.6180340168298</v>
      </c>
      <c r="CQ86" s="585">
        <f t="shared" si="1069"/>
        <v>1522.0027484867339</v>
      </c>
      <c r="CR86" s="429"/>
      <c r="DG86" s="170" t="s">
        <v>603</v>
      </c>
      <c r="DH86" s="829"/>
      <c r="DI86" s="830"/>
      <c r="DJ86" s="830"/>
      <c r="DK86" s="830"/>
      <c r="DL86" s="830"/>
      <c r="DM86" s="831"/>
      <c r="DO86" s="170" t="s">
        <v>603</v>
      </c>
      <c r="DP86" s="704">
        <f t="shared" ref="DP86:DR86" si="1070">DP62+DP63+DP64</f>
        <v>4023.340189</v>
      </c>
      <c r="DQ86" s="573">
        <f t="shared" si="1070"/>
        <v>4053.0319824355247</v>
      </c>
      <c r="DR86" s="585">
        <f t="shared" si="1070"/>
        <v>4035.2494853489402</v>
      </c>
      <c r="DS86" s="63"/>
      <c r="DT86" s="170" t="s">
        <v>603</v>
      </c>
      <c r="DU86" s="584">
        <f t="shared" ref="DU86:DW86" si="1071">DU62+DU63+DU64</f>
        <v>7030.8186770000002</v>
      </c>
      <c r="DV86" s="573">
        <f t="shared" si="1071"/>
        <v>6787.4136716345629</v>
      </c>
      <c r="DW86" s="585">
        <f t="shared" si="1071"/>
        <v>6606.0611733850001</v>
      </c>
      <c r="DX86" s="63"/>
      <c r="DY86" s="170" t="s">
        <v>603</v>
      </c>
      <c r="DZ86" s="1094">
        <f t="shared" si="410"/>
        <v>1.7475078782108922</v>
      </c>
      <c r="EA86" s="791">
        <f t="shared" si="411"/>
        <v>1.6746509035825345</v>
      </c>
      <c r="EB86" s="780">
        <f t="shared" si="412"/>
        <v>1.6370886601609353</v>
      </c>
      <c r="ED86" s="541"/>
      <c r="EE86" s="170" t="s">
        <v>603</v>
      </c>
      <c r="EF86" s="584">
        <f t="shared" ref="EF86:EJ86" si="1072">EF62+EF63+EF64</f>
        <v>2291.5343370000001</v>
      </c>
      <c r="EG86" s="573">
        <f t="shared" si="1072"/>
        <v>87.896653999999998</v>
      </c>
      <c r="EH86" s="573">
        <f t="shared" si="1072"/>
        <v>679.57424100000003</v>
      </c>
      <c r="EI86" s="573">
        <f t="shared" si="1072"/>
        <v>548.46361200000001</v>
      </c>
      <c r="EJ86" s="573">
        <f t="shared" si="1072"/>
        <v>415.87134400000002</v>
      </c>
      <c r="EK86" s="584">
        <f t="shared" ref="EK86:EO86" si="1073">EK62+EK63+EK64</f>
        <v>2408.4052924308126</v>
      </c>
      <c r="EL86" s="573">
        <f t="shared" si="1073"/>
        <v>118.3411932163221</v>
      </c>
      <c r="EM86" s="573">
        <f t="shared" si="1073"/>
        <v>630.61579546783071</v>
      </c>
      <c r="EN86" s="573">
        <f t="shared" si="1073"/>
        <v>466.81349837782545</v>
      </c>
      <c r="EO86" s="573">
        <f t="shared" si="1073"/>
        <v>428.85620294273377</v>
      </c>
      <c r="EP86" s="584">
        <f t="shared" ref="EP86:ET86" si="1074">EP62+EP63+EP64</f>
        <v>2513.363775188383</v>
      </c>
      <c r="EQ86" s="573">
        <f t="shared" si="1074"/>
        <v>104.7223487593603</v>
      </c>
      <c r="ER86" s="573">
        <f t="shared" si="1074"/>
        <v>645.232508798813</v>
      </c>
      <c r="ES86" s="573">
        <f t="shared" si="1074"/>
        <v>382.47589704635175</v>
      </c>
      <c r="ET86" s="585">
        <f t="shared" si="1074"/>
        <v>389.45495555603839</v>
      </c>
      <c r="EV86" s="170" t="s">
        <v>603</v>
      </c>
      <c r="EW86" s="584">
        <f t="shared" ref="EW86:FD86" si="1075">EW62+EW63+EW64</f>
        <v>235.03439300000002</v>
      </c>
      <c r="EX86" s="573">
        <f t="shared" si="1075"/>
        <v>980.21047399999998</v>
      </c>
      <c r="EY86" s="573">
        <f t="shared" si="1075"/>
        <v>888.83080000000007</v>
      </c>
      <c r="EZ86" s="573">
        <f t="shared" si="1075"/>
        <v>187.45867200000001</v>
      </c>
      <c r="FA86" s="584">
        <f t="shared" si="1075"/>
        <v>961.48482799999999</v>
      </c>
      <c r="FB86" s="573">
        <f t="shared" si="1075"/>
        <v>2909.8727309999999</v>
      </c>
      <c r="FC86" s="573">
        <f t="shared" si="1075"/>
        <v>1741.5596169999999</v>
      </c>
      <c r="FD86" s="573">
        <f t="shared" si="1075"/>
        <v>275.612911</v>
      </c>
      <c r="FE86" s="583">
        <f t="shared" ref="FE86:FL86" si="1076">FE62+FE63+FE64</f>
        <v>167.60327804758575</v>
      </c>
      <c r="FF86" s="561">
        <f t="shared" si="1076"/>
        <v>1030.7092227609205</v>
      </c>
      <c r="FG86" s="561">
        <f t="shared" si="1076"/>
        <v>954.06982506851807</v>
      </c>
      <c r="FH86" s="562">
        <f t="shared" si="1076"/>
        <v>256.02296655378836</v>
      </c>
      <c r="FI86" s="583">
        <f t="shared" si="1076"/>
        <v>811.90799760615653</v>
      </c>
      <c r="FJ86" s="561">
        <f t="shared" si="1076"/>
        <v>2740.7819509061601</v>
      </c>
      <c r="FK86" s="561">
        <f t="shared" si="1076"/>
        <v>1785.4954970891499</v>
      </c>
      <c r="FL86" s="562">
        <f t="shared" si="1076"/>
        <v>420.55480893377035</v>
      </c>
      <c r="FM86" s="703">
        <f t="shared" ref="FM86:FT86" si="1077">FM62+FM63+FM64</f>
        <v>269.16635091639216</v>
      </c>
      <c r="FN86" s="704">
        <f t="shared" si="1077"/>
        <v>1028.7541421650631</v>
      </c>
      <c r="FO86" s="704">
        <f t="shared" si="1077"/>
        <v>946.84212126571799</v>
      </c>
      <c r="FP86" s="173">
        <f t="shared" si="1077"/>
        <v>268.60116084120989</v>
      </c>
      <c r="FQ86" s="703">
        <f t="shared" si="1077"/>
        <v>852.11724754016996</v>
      </c>
      <c r="FR86" s="704">
        <f t="shared" si="1077"/>
        <v>2488.0076025632379</v>
      </c>
      <c r="FS86" s="704">
        <f t="shared" si="1077"/>
        <v>1858.025132045434</v>
      </c>
      <c r="FT86" s="173">
        <f t="shared" si="1077"/>
        <v>403.67545859051484</v>
      </c>
      <c r="FV86" s="170" t="s">
        <v>603</v>
      </c>
      <c r="FW86" s="584">
        <f t="shared" ref="FW86:GH86" si="1078">FW62+FW63+FW64</f>
        <v>760.40538600000002</v>
      </c>
      <c r="FX86" s="573">
        <f t="shared" si="1078"/>
        <v>493.78340300000002</v>
      </c>
      <c r="FY86" s="573">
        <f t="shared" si="1078"/>
        <v>275.61840000000001</v>
      </c>
      <c r="FZ86" s="585">
        <f t="shared" si="1078"/>
        <v>128.21739600000001</v>
      </c>
      <c r="GA86" s="584">
        <f t="shared" si="1078"/>
        <v>707.0937243260538</v>
      </c>
      <c r="GB86" s="573">
        <f t="shared" si="1078"/>
        <v>437.40947084843617</v>
      </c>
      <c r="GC86" s="573">
        <f t="shared" si="1078"/>
        <v>285.92741739705241</v>
      </c>
      <c r="GD86" s="585">
        <f t="shared" si="1078"/>
        <v>102.38386713212574</v>
      </c>
      <c r="GE86" s="584">
        <f t="shared" si="1078"/>
        <v>711.40833025494101</v>
      </c>
      <c r="GF86" s="573">
        <f t="shared" si="1078"/>
        <v>344.116470954325</v>
      </c>
      <c r="GG86" s="573">
        <f t="shared" si="1078"/>
        <v>236.63937339597689</v>
      </c>
      <c r="GH86" s="585">
        <f t="shared" si="1078"/>
        <v>132.18842427652888</v>
      </c>
      <c r="GJ86" s="170" t="s">
        <v>603</v>
      </c>
      <c r="GK86" s="573">
        <f t="shared" ref="GK86:GM86" si="1079">GK62+GK63+GK64</f>
        <v>4362.9950909999998</v>
      </c>
      <c r="GL86" s="573">
        <f t="shared" si="1079"/>
        <v>4381.4968325014306</v>
      </c>
      <c r="GM86" s="585">
        <f t="shared" si="1079"/>
        <v>4506.00409732771</v>
      </c>
      <c r="GO86" s="170" t="s">
        <v>603</v>
      </c>
      <c r="GP86" s="584">
        <f t="shared" ref="GP86:GX86" si="1080">GP62+GP63+GP64</f>
        <v>4023.340189</v>
      </c>
      <c r="GQ86" s="573">
        <f t="shared" si="1080"/>
        <v>108.701481</v>
      </c>
      <c r="GR86" s="585">
        <f t="shared" si="1080"/>
        <v>230.95342200000002</v>
      </c>
      <c r="GS86" s="584">
        <f t="shared" si="1080"/>
        <v>4053.0319824355247</v>
      </c>
      <c r="GT86" s="573">
        <f t="shared" si="1080"/>
        <v>26.7735289781834</v>
      </c>
      <c r="GU86" s="585">
        <f t="shared" si="1080"/>
        <v>301.69132108772209</v>
      </c>
      <c r="GV86" s="584">
        <f t="shared" si="1080"/>
        <v>4035.2494853489402</v>
      </c>
      <c r="GW86" s="573">
        <f t="shared" si="1080"/>
        <v>60.108714000422594</v>
      </c>
      <c r="GX86" s="585">
        <f t="shared" si="1080"/>
        <v>410.64589797834299</v>
      </c>
      <c r="GZ86" s="170" t="s">
        <v>603</v>
      </c>
      <c r="HA86" s="584">
        <f t="shared" ref="HA86:HI86" si="1081">HA62+HA63+HA64</f>
        <v>1.842438</v>
      </c>
      <c r="HB86" s="573">
        <f t="shared" si="1081"/>
        <v>4292.1228639999999</v>
      </c>
      <c r="HC86" s="585">
        <f t="shared" si="1081"/>
        <v>69.029788999999937</v>
      </c>
      <c r="HD86" s="584">
        <f t="shared" si="1081"/>
        <v>10.432484078179259</v>
      </c>
      <c r="HE86" s="573">
        <f t="shared" si="1081"/>
        <v>4311.3239895732941</v>
      </c>
      <c r="HF86" s="585">
        <f t="shared" si="1081"/>
        <v>59.740358849957147</v>
      </c>
      <c r="HG86" s="584">
        <f t="shared" si="1081"/>
        <v>9.2093712132701899</v>
      </c>
      <c r="HH86" s="573">
        <f t="shared" si="1081"/>
        <v>4421.4107171209307</v>
      </c>
      <c r="HI86" s="585">
        <f t="shared" si="1081"/>
        <v>75.384008993509951</v>
      </c>
      <c r="HK86" s="170" t="s">
        <v>603</v>
      </c>
      <c r="HL86" s="573">
        <f t="shared" ref="HL86:HO86" si="1082">HL62+HL63+HL64</f>
        <v>4023.340189</v>
      </c>
      <c r="HM86" s="573">
        <f t="shared" ref="HM86" si="1083">HM62+HM63+HM64</f>
        <v>11672.527314999999</v>
      </c>
      <c r="HN86" s="780">
        <f t="shared" si="477"/>
        <v>2.9012031711644055</v>
      </c>
      <c r="HO86" s="584">
        <f t="shared" si="1082"/>
        <v>4053.0319824355247</v>
      </c>
      <c r="HP86" s="573">
        <f t="shared" ref="HP86" si="1084">HP62+HP63+HP64</f>
        <v>12073.093863977418</v>
      </c>
      <c r="HQ86" s="780">
        <f t="shared" si="479"/>
        <v>2.9787808031858964</v>
      </c>
      <c r="HR86" s="573">
        <f>HR62+HR63+HR64</f>
        <v>4035.2494853489402</v>
      </c>
      <c r="HS86" s="573">
        <f>HS62+HS63+HS64</f>
        <v>11561.87982112791</v>
      </c>
      <c r="HT86" s="784">
        <f t="shared" si="480"/>
        <v>2.8652205676765283</v>
      </c>
      <c r="HV86" s="170" t="s">
        <v>603</v>
      </c>
      <c r="HW86" s="584">
        <f>HW62+HW63+HW64</f>
        <v>1.842438</v>
      </c>
      <c r="HX86" s="573">
        <f>HX62+HX63+HX64</f>
        <v>3.6848770000000002</v>
      </c>
      <c r="HY86" s="791">
        <v>0</v>
      </c>
      <c r="HZ86" s="573">
        <f>HZ62+HZ63+HZ64</f>
        <v>3953.475856</v>
      </c>
      <c r="IA86" s="573">
        <f>IA62+IA63+IA64</f>
        <v>11568.074895</v>
      </c>
      <c r="IB86" s="791">
        <f t="shared" si="482"/>
        <v>2.9260517368390371</v>
      </c>
      <c r="IC86" s="584">
        <f>IC62+IC63+IC64</f>
        <v>10.432484078179259</v>
      </c>
      <c r="ID86" s="573">
        <f>ID62+ID63+ID64</f>
        <v>43.760341570481522</v>
      </c>
      <c r="IE86" s="791">
        <f t="shared" si="483"/>
        <v>4.1946233746966657</v>
      </c>
      <c r="IF86" s="573">
        <f>IF62+IF63+IF64</f>
        <v>3985.9982357770641</v>
      </c>
      <c r="IG86" s="573">
        <f>IG62+IG63+IG64</f>
        <v>11895.789375259668</v>
      </c>
      <c r="IH86" s="790">
        <f t="shared" si="126"/>
        <v>2.9843940392363479</v>
      </c>
      <c r="II86" s="584">
        <f>II62+II63+II64</f>
        <v>9.2093712132701899</v>
      </c>
      <c r="IJ86" s="573">
        <f>IJ62+IJ63+IJ64</f>
        <v>27.628113639810607</v>
      </c>
      <c r="IK86" s="791">
        <f t="shared" si="484"/>
        <v>3.000000000000004</v>
      </c>
      <c r="IL86" s="573">
        <f>IL62+IL63+IL64</f>
        <v>3954.5958814062901</v>
      </c>
      <c r="IM86" s="573">
        <f>IM62+IM63+IM64</f>
        <v>11359.620211112289</v>
      </c>
      <c r="IN86" s="780">
        <f t="shared" si="485"/>
        <v>2.8725110104228162</v>
      </c>
      <c r="IP86" s="170" t="s">
        <v>603</v>
      </c>
      <c r="IQ86" s="584">
        <f>IQ62+IQ63+IQ64</f>
        <v>403.41317200000003</v>
      </c>
      <c r="IR86" s="573">
        <f t="shared" ref="IR86:JH86" si="1085">IR62+IR63+IR64</f>
        <v>1212.1934430000001</v>
      </c>
      <c r="IS86" s="573">
        <f t="shared" si="1085"/>
        <v>1242.1610209999999</v>
      </c>
      <c r="IT86" s="573">
        <f t="shared" si="1085"/>
        <v>799.86444299999994</v>
      </c>
      <c r="IU86" s="573">
        <f t="shared" si="1085"/>
        <v>365.70811000000003</v>
      </c>
      <c r="IV86" s="573">
        <f t="shared" si="1085"/>
        <v>11672.527314999999</v>
      </c>
      <c r="IW86" s="703">
        <f t="shared" si="1085"/>
        <v>267.98455093041866</v>
      </c>
      <c r="IX86" s="704">
        <f t="shared" si="1085"/>
        <v>1290.7973363339133</v>
      </c>
      <c r="IY86" s="704">
        <f t="shared" si="1085"/>
        <v>1266.2611746989999</v>
      </c>
      <c r="IZ86" s="704">
        <f t="shared" si="1085"/>
        <v>845.80830673446724</v>
      </c>
      <c r="JA86" s="704">
        <f t="shared" si="1085"/>
        <v>382.18061373772565</v>
      </c>
      <c r="JB86" s="173">
        <f t="shared" si="1085"/>
        <v>12073.093863977418</v>
      </c>
      <c r="JC86" s="703">
        <f t="shared" si="1085"/>
        <v>383.69777980480364</v>
      </c>
      <c r="JD86" s="704">
        <f t="shared" si="1085"/>
        <v>1303.511139531457</v>
      </c>
      <c r="JE86" s="704">
        <f t="shared" si="1085"/>
        <v>1302.227202280561</v>
      </c>
      <c r="JF86" s="704">
        <f t="shared" si="1085"/>
        <v>693.05442748369899</v>
      </c>
      <c r="JG86" s="704">
        <f t="shared" si="1085"/>
        <v>352.75893624842593</v>
      </c>
      <c r="JH86" s="173">
        <f t="shared" si="1085"/>
        <v>11561.87982112791</v>
      </c>
      <c r="JJ86" s="170" t="s">
        <v>603</v>
      </c>
      <c r="JK86" s="584">
        <f t="shared" ref="JK86:JV86" si="1086">JK62+JK63+JK64</f>
        <v>799.073667</v>
      </c>
      <c r="JL86" s="573">
        <f t="shared" si="1086"/>
        <v>603.96154000000001</v>
      </c>
      <c r="JM86" s="573">
        <f t="shared" si="1086"/>
        <v>2589.9411179999997</v>
      </c>
      <c r="JN86" s="585">
        <f t="shared" si="1086"/>
        <v>30.363862999999998</v>
      </c>
      <c r="JO86" s="584">
        <f t="shared" si="1086"/>
        <v>912.4709919243993</v>
      </c>
      <c r="JP86" s="573">
        <f t="shared" si="1086"/>
        <v>745.71079416003954</v>
      </c>
      <c r="JQ86" s="573">
        <f t="shared" si="1086"/>
        <v>2321.7261025586095</v>
      </c>
      <c r="JR86" s="585">
        <f t="shared" si="1086"/>
        <v>73.124093792476771</v>
      </c>
      <c r="JS86" s="584">
        <f t="shared" si="1086"/>
        <v>863.71213579606524</v>
      </c>
      <c r="JT86" s="573">
        <f t="shared" si="1086"/>
        <v>814.30327297049507</v>
      </c>
      <c r="JU86" s="573">
        <f t="shared" si="1086"/>
        <v>2300.6512979411</v>
      </c>
      <c r="JV86" s="585">
        <f t="shared" si="1086"/>
        <v>56.58277864128187</v>
      </c>
      <c r="JX86" s="170" t="s">
        <v>603</v>
      </c>
      <c r="JY86" s="584">
        <f t="shared" ref="JY86:KB86" si="1087">JY62+JY63+JY64</f>
        <v>541.98039806936299</v>
      </c>
      <c r="JZ86" s="573">
        <f t="shared" si="1087"/>
        <v>1104.7023456680961</v>
      </c>
      <c r="KA86" s="573">
        <f t="shared" si="1087"/>
        <v>693.25082407657499</v>
      </c>
      <c r="KB86" s="562">
        <f t="shared" si="1087"/>
        <v>1695.3159175349128</v>
      </c>
      <c r="KC86" s="604"/>
      <c r="KD86" s="170" t="s">
        <v>603</v>
      </c>
      <c r="KE86" s="584">
        <f t="shared" ref="KE86:KV86" si="1088">KE62+KE63+KE64</f>
        <v>19.32451661986185</v>
      </c>
      <c r="KF86" s="573">
        <f t="shared" si="1088"/>
        <v>24.442481090399767</v>
      </c>
      <c r="KG86" s="573">
        <f t="shared" si="1088"/>
        <v>750.93343824614203</v>
      </c>
      <c r="KH86" s="573">
        <f t="shared" si="1088"/>
        <v>2873.8196429528498</v>
      </c>
      <c r="KI86" s="573">
        <f t="shared" si="1088"/>
        <v>171.31657563640749</v>
      </c>
      <c r="KJ86" s="585">
        <f t="shared" si="1088"/>
        <v>65.932199768757101</v>
      </c>
      <c r="KK86" s="584">
        <f t="shared" si="1088"/>
        <v>0</v>
      </c>
      <c r="KL86" s="573">
        <f t="shared" si="1088"/>
        <v>0</v>
      </c>
      <c r="KM86" s="573">
        <f t="shared" si="1088"/>
        <v>0</v>
      </c>
      <c r="KN86" s="573">
        <f t="shared" si="1088"/>
        <v>9.2093712132701899</v>
      </c>
      <c r="KO86" s="573">
        <f t="shared" si="1088"/>
        <v>0</v>
      </c>
      <c r="KP86" s="585">
        <f t="shared" si="1088"/>
        <v>0</v>
      </c>
      <c r="KQ86" s="584">
        <f t="shared" si="1088"/>
        <v>19.32451661986185</v>
      </c>
      <c r="KR86" s="573">
        <f t="shared" si="1088"/>
        <v>24.442481090399767</v>
      </c>
      <c r="KS86" s="573">
        <f t="shared" si="1088"/>
        <v>809.42867672018497</v>
      </c>
      <c r="KT86" s="573">
        <f t="shared" si="1088"/>
        <v>2888.9792702184805</v>
      </c>
      <c r="KU86" s="573">
        <f t="shared" si="1088"/>
        <v>174.6486200412815</v>
      </c>
      <c r="KV86" s="585">
        <f t="shared" si="1088"/>
        <v>69.598893566855935</v>
      </c>
      <c r="KW86" s="429"/>
      <c r="KX86" s="170" t="s">
        <v>603</v>
      </c>
      <c r="KY86" s="584">
        <f t="shared" ref="KY86:LA86" si="1089">KY62+KY63+KY64</f>
        <v>1257.1294430000003</v>
      </c>
      <c r="KZ86" s="573">
        <f t="shared" si="1089"/>
        <v>2240.912926</v>
      </c>
      <c r="LA86" s="585">
        <f t="shared" si="1089"/>
        <v>525.29782</v>
      </c>
      <c r="LB86" s="584">
        <f t="shared" ref="LB86:LD86" si="1090">LB62+LB63+LB64</f>
        <v>1365.8212735585428</v>
      </c>
      <c r="LC86" s="573">
        <f t="shared" si="1090"/>
        <v>2226.3264758243422</v>
      </c>
      <c r="LD86" s="585">
        <f t="shared" si="1090"/>
        <v>460.8842330526395</v>
      </c>
      <c r="LE86" s="584">
        <f t="shared" ref="LE86:LG86" si="1091">LE62+LE63+LE64</f>
        <v>1330.4847789126725</v>
      </c>
      <c r="LF86" s="573">
        <f t="shared" si="1091"/>
        <v>2316.2293857885397</v>
      </c>
      <c r="LG86" s="585">
        <f t="shared" si="1091"/>
        <v>388.53532064772753</v>
      </c>
      <c r="LH86" s="426"/>
      <c r="LI86" s="170" t="s">
        <v>603</v>
      </c>
      <c r="LJ86" s="584">
        <f t="shared" ref="LJ86:MA86" si="1092">LJ62+LJ63+LJ64</f>
        <v>3574.6326399999998</v>
      </c>
      <c r="LK86" s="573">
        <f t="shared" si="1092"/>
        <v>2838.6265910000002</v>
      </c>
      <c r="LL86" s="573">
        <f t="shared" si="1092"/>
        <v>736.00604900000008</v>
      </c>
      <c r="LM86" s="573">
        <f t="shared" si="1092"/>
        <v>394.26462200000003</v>
      </c>
      <c r="LN86" s="573">
        <f t="shared" si="1092"/>
        <v>393.11450600000001</v>
      </c>
      <c r="LO86" s="585">
        <f t="shared" si="1092"/>
        <v>424.73806200000001</v>
      </c>
      <c r="LP86" s="584">
        <f t="shared" si="1092"/>
        <v>3231.8960262712826</v>
      </c>
      <c r="LQ86" s="573">
        <f t="shared" si="1092"/>
        <v>2410.9718566700894</v>
      </c>
      <c r="LR86" s="573">
        <f t="shared" si="1092"/>
        <v>820.92416960119317</v>
      </c>
      <c r="LS86" s="573">
        <f t="shared" si="1092"/>
        <v>340.98744185650065</v>
      </c>
      <c r="LT86" s="573">
        <f t="shared" si="1092"/>
        <v>467.66454366261894</v>
      </c>
      <c r="LU86" s="585">
        <f t="shared" si="1092"/>
        <v>445.18341968693272</v>
      </c>
      <c r="LV86" s="584">
        <f t="shared" si="1092"/>
        <v>3002.8311207686493</v>
      </c>
      <c r="LW86" s="573">
        <f t="shared" si="1092"/>
        <v>2305.997897876116</v>
      </c>
      <c r="LX86" s="573">
        <f t="shared" si="1092"/>
        <v>696.83322289253306</v>
      </c>
      <c r="LY86" s="573">
        <f t="shared" si="1092"/>
        <v>376.9517239455347</v>
      </c>
      <c r="LZ86" s="573">
        <f t="shared" si="1092"/>
        <v>268.7677751937706</v>
      </c>
      <c r="MA86" s="585">
        <f t="shared" si="1092"/>
        <v>529.27217185239738</v>
      </c>
      <c r="MC86" s="170" t="s">
        <v>603</v>
      </c>
      <c r="MD86" s="584">
        <f t="shared" ref="MD86:MU86" si="1093">MD62+MD63+MD64</f>
        <v>0</v>
      </c>
      <c r="ME86" s="573">
        <f t="shared" si="1093"/>
        <v>59.662324999999996</v>
      </c>
      <c r="MF86" s="573">
        <f t="shared" si="1093"/>
        <v>238.822676</v>
      </c>
      <c r="MG86" s="573">
        <f t="shared" si="1093"/>
        <v>590.024135</v>
      </c>
      <c r="MH86" s="573">
        <f t="shared" si="1093"/>
        <v>1096.5198419999999</v>
      </c>
      <c r="MI86" s="585">
        <f t="shared" si="1093"/>
        <v>853.59761099999992</v>
      </c>
      <c r="MJ86" s="584">
        <f t="shared" si="1093"/>
        <v>0</v>
      </c>
      <c r="MK86" s="573">
        <f t="shared" si="1093"/>
        <v>55.81805201018247</v>
      </c>
      <c r="ML86" s="573">
        <f t="shared" si="1093"/>
        <v>260.50683999402315</v>
      </c>
      <c r="MM86" s="573">
        <f t="shared" si="1093"/>
        <v>518.75468959616205</v>
      </c>
      <c r="MN86" s="573">
        <f t="shared" si="1093"/>
        <v>879.25151645551182</v>
      </c>
      <c r="MO86" s="585">
        <f t="shared" si="1093"/>
        <v>696.64075861420974</v>
      </c>
      <c r="MP86" s="584">
        <f t="shared" si="1093"/>
        <v>3.6666937980988399</v>
      </c>
      <c r="MQ86" s="573">
        <f t="shared" si="1093"/>
        <v>85.451538987698598</v>
      </c>
      <c r="MR86" s="573">
        <f t="shared" si="1093"/>
        <v>257.06447982984406</v>
      </c>
      <c r="MS86" s="573">
        <f t="shared" si="1093"/>
        <v>577.764946052911</v>
      </c>
      <c r="MT86" s="573">
        <f t="shared" si="1093"/>
        <v>780.91234415615304</v>
      </c>
      <c r="MU86" s="585">
        <f t="shared" si="1093"/>
        <v>601.13789505141108</v>
      </c>
      <c r="MW86" s="170" t="s">
        <v>603</v>
      </c>
      <c r="MX86" s="584">
        <f t="shared" ref="MX86:NF86" si="1094">MX62+MX63+MX64</f>
        <v>2847.1131719999998</v>
      </c>
      <c r="MY86" s="573">
        <f t="shared" si="1094"/>
        <v>2733.4269989999998</v>
      </c>
      <c r="MZ86" s="573">
        <f t="shared" si="1094"/>
        <v>113.686173</v>
      </c>
      <c r="NA86" s="584">
        <f t="shared" si="1094"/>
        <v>2441.1087501218499</v>
      </c>
      <c r="NB86" s="573">
        <f t="shared" si="1094"/>
        <v>2342.2660610176404</v>
      </c>
      <c r="NC86" s="585">
        <f t="shared" si="1094"/>
        <v>98.842689104209811</v>
      </c>
      <c r="ND86" s="584">
        <f t="shared" si="1094"/>
        <v>2339.8349419724173</v>
      </c>
      <c r="NE86" s="573">
        <f t="shared" si="1094"/>
        <v>2231.6981274936711</v>
      </c>
      <c r="NF86" s="585">
        <f t="shared" si="1094"/>
        <v>108.1368144787465</v>
      </c>
      <c r="NH86" s="170" t="s">
        <v>603</v>
      </c>
      <c r="NI86" s="584">
        <f t="shared" ref="NI86:NR86" si="1095">NI62+NI63+NI64</f>
        <v>1898.6016532673327</v>
      </c>
      <c r="NJ86" s="585">
        <f t="shared" si="1095"/>
        <v>443.66440775030765</v>
      </c>
      <c r="NK86" s="584">
        <f t="shared" si="1095"/>
        <v>70.004078335298942</v>
      </c>
      <c r="NL86" s="573">
        <f t="shared" si="1095"/>
        <v>26.745920318268265</v>
      </c>
      <c r="NM86" s="585">
        <f t="shared" si="1095"/>
        <v>2.0926904506425998</v>
      </c>
      <c r="NN86" s="584">
        <f t="shared" si="1095"/>
        <v>1710.2040154891829</v>
      </c>
      <c r="NO86" s="585">
        <f t="shared" si="1095"/>
        <v>521.49411200448787</v>
      </c>
      <c r="NP86" s="584">
        <f t="shared" si="1095"/>
        <v>88.164839818594999</v>
      </c>
      <c r="NQ86" s="573">
        <f t="shared" si="1095"/>
        <v>19.971974660151478</v>
      </c>
      <c r="NR86" s="585">
        <f t="shared" si="1095"/>
        <v>0</v>
      </c>
      <c r="NS86" s="136"/>
      <c r="NT86" s="170" t="s">
        <v>603</v>
      </c>
      <c r="NU86" s="584">
        <f t="shared" ref="NU86:OB86" si="1096">NU62+NU63+NU64</f>
        <v>208.66227067770978</v>
      </c>
      <c r="NV86" s="573">
        <f t="shared" si="1096"/>
        <v>116.35613084216746</v>
      </c>
      <c r="NW86" s="573">
        <f t="shared" si="1096"/>
        <v>16.52073301905623</v>
      </c>
      <c r="NX86" s="585">
        <f t="shared" si="1096"/>
        <v>102.12527321137415</v>
      </c>
      <c r="NY86" s="584">
        <f t="shared" si="1096"/>
        <v>314.83827955068989</v>
      </c>
      <c r="NZ86" s="573">
        <f t="shared" si="1096"/>
        <v>100.7644149836371</v>
      </c>
      <c r="OA86" s="573">
        <f t="shared" si="1096"/>
        <v>11.70671249201331</v>
      </c>
      <c r="OB86" s="585">
        <f t="shared" si="1096"/>
        <v>94.184704978147607</v>
      </c>
      <c r="OC86" s="553"/>
      <c r="OD86" s="170" t="s">
        <v>603</v>
      </c>
      <c r="OE86" s="584">
        <f t="shared" ref="OE86:OR86" si="1097">OE62+OE63+OE64</f>
        <v>210.43349797038539</v>
      </c>
      <c r="OF86" s="573">
        <f t="shared" si="1097"/>
        <v>282.05960064305128</v>
      </c>
      <c r="OG86" s="573">
        <f t="shared" si="1097"/>
        <v>218.91715719448541</v>
      </c>
      <c r="OH86" s="573">
        <f t="shared" si="1097"/>
        <v>136.07032648674442</v>
      </c>
      <c r="OI86" s="573">
        <f t="shared" si="1097"/>
        <v>378.17936964579968</v>
      </c>
      <c r="OJ86" s="573">
        <f t="shared" si="1097"/>
        <v>57.092898840429498</v>
      </c>
      <c r="OK86" s="585">
        <f t="shared" si="1097"/>
        <v>111.3468678845777</v>
      </c>
      <c r="OL86" s="584">
        <f t="shared" si="1097"/>
        <v>304.47070184904499</v>
      </c>
      <c r="OM86" s="573">
        <f t="shared" si="1097"/>
        <v>287.25270880877781</v>
      </c>
      <c r="ON86" s="573">
        <f t="shared" si="1097"/>
        <v>220.9975073159174</v>
      </c>
      <c r="OO86" s="573">
        <f t="shared" si="1097"/>
        <v>140.69050196646333</v>
      </c>
      <c r="OP86" s="573">
        <f t="shared" si="1097"/>
        <v>711.42674557370606</v>
      </c>
      <c r="OQ86" s="573">
        <f t="shared" si="1097"/>
        <v>545.31059691027804</v>
      </c>
      <c r="OR86" s="585">
        <f t="shared" si="1097"/>
        <v>4302.3976957966397</v>
      </c>
      <c r="OT86" s="170" t="s">
        <v>603</v>
      </c>
      <c r="OU86" s="584">
        <f t="shared" ref="OU86:PF86" si="1098">OU62+OU63+OU64</f>
        <v>2065.048413</v>
      </c>
      <c r="OV86" s="573">
        <f t="shared" si="1098"/>
        <v>1311.9617880000001</v>
      </c>
      <c r="OW86" s="573">
        <f t="shared" si="1098"/>
        <v>944.98489300000006</v>
      </c>
      <c r="OX86" s="585">
        <f t="shared" si="1098"/>
        <v>1038.810336</v>
      </c>
      <c r="OY86" s="584">
        <f t="shared" si="1098"/>
        <v>1698.0134018704416</v>
      </c>
      <c r="OZ86" s="573">
        <f t="shared" si="1098"/>
        <v>1312.7784725552906</v>
      </c>
      <c r="PA86" s="573">
        <f t="shared" si="1098"/>
        <v>953.23294796525158</v>
      </c>
      <c r="PB86" s="585">
        <f t="shared" si="1098"/>
        <v>1315.5024646852185</v>
      </c>
      <c r="PC86" s="584">
        <f t="shared" si="1098"/>
        <v>1488.4391349839771</v>
      </c>
      <c r="PD86" s="573">
        <f t="shared" si="1098"/>
        <v>1324.74698965894</v>
      </c>
      <c r="PE86" s="573">
        <f t="shared" si="1098"/>
        <v>956.32677630661203</v>
      </c>
      <c r="PF86" s="585">
        <f t="shared" si="1098"/>
        <v>1247.6231764400038</v>
      </c>
      <c r="PH86" s="170" t="s">
        <v>603</v>
      </c>
      <c r="PI86" s="584">
        <f t="shared" ref="PI86:PP86" si="1099">PI62+PI63+PI64</f>
        <v>585.97509815786452</v>
      </c>
      <c r="PJ86" s="573">
        <f t="shared" si="1099"/>
        <v>688.82941223108696</v>
      </c>
      <c r="PK86" s="573">
        <f t="shared" si="1099"/>
        <v>450.77504875104103</v>
      </c>
      <c r="PL86" s="585">
        <f t="shared" si="1099"/>
        <v>609.48555995524805</v>
      </c>
      <c r="PM86" s="584">
        <f t="shared" si="1099"/>
        <v>902.46403682611151</v>
      </c>
      <c r="PN86" s="573">
        <f t="shared" si="1099"/>
        <v>635.91757742785103</v>
      </c>
      <c r="PO86" s="573">
        <f t="shared" si="1099"/>
        <v>505.55172755557197</v>
      </c>
      <c r="PP86" s="585">
        <f t="shared" si="1099"/>
        <v>638.13761648475599</v>
      </c>
      <c r="PQ86" s="65"/>
      <c r="PR86" s="1029" t="s">
        <v>603</v>
      </c>
      <c r="PS86" s="1038">
        <f t="shared" ref="PS86:PW86" si="1100">PS62+PS63+PS64</f>
        <v>58.070841862111401</v>
      </c>
      <c r="PT86" s="1039">
        <f t="shared" si="1100"/>
        <v>105.34836449894749</v>
      </c>
      <c r="PU86" s="1039">
        <f t="shared" si="1100"/>
        <v>125.11487119863841</v>
      </c>
      <c r="PV86" s="1039">
        <f t="shared" si="1100"/>
        <v>36.111777384746645</v>
      </c>
      <c r="PW86" s="1039">
        <f t="shared" si="1100"/>
        <v>1375.0548520743851</v>
      </c>
      <c r="PX86" s="1040">
        <f t="shared" ref="PX86" si="1101">PX62+PX63+PX64</f>
        <v>640.13423495358802</v>
      </c>
      <c r="PZ86" s="1029" t="s">
        <v>603</v>
      </c>
      <c r="QA86" s="1038">
        <f t="shared" ref="QA86:QF86" si="1102">QA62+QA63+QA64</f>
        <v>1417.5794676562268</v>
      </c>
      <c r="QB86" s="1039">
        <f t="shared" si="1102"/>
        <v>922.25547431619202</v>
      </c>
      <c r="QC86" s="1039">
        <f t="shared" si="1102"/>
        <v>793.63282773782498</v>
      </c>
      <c r="QD86" s="1039">
        <f t="shared" ref="QD86" si="1103">QD62+QD63+QD64</f>
        <v>61.9251862979213</v>
      </c>
      <c r="QE86" s="1039">
        <f t="shared" si="1102"/>
        <v>63.535842481292292</v>
      </c>
      <c r="QF86" s="1040">
        <f t="shared" si="1102"/>
        <v>3.1616177991521899</v>
      </c>
    </row>
    <row r="87" spans="1:448" ht="13.5" customHeight="1">
      <c r="A87" s="136"/>
      <c r="B87" s="171" t="s">
        <v>587</v>
      </c>
      <c r="C87" s="574">
        <f t="shared" ref="C87" si="1104">C65</f>
        <v>1618.000857</v>
      </c>
      <c r="D87" s="628">
        <f t="shared" ref="D87:E87" si="1105">D65</f>
        <v>2404.6444275841031</v>
      </c>
      <c r="E87" s="575">
        <f t="shared" si="1105"/>
        <v>3082.5671470929901</v>
      </c>
      <c r="F87" s="136"/>
      <c r="G87" s="171" t="s">
        <v>587</v>
      </c>
      <c r="H87" s="239">
        <f t="shared" si="447"/>
        <v>8.2466398139762864E-2</v>
      </c>
      <c r="I87" s="1133">
        <f t="shared" si="448"/>
        <v>5.0926481800097845E-2</v>
      </c>
      <c r="J87" s="681"/>
      <c r="K87" s="63"/>
      <c r="L87" s="171" t="s">
        <v>587</v>
      </c>
      <c r="M87" s="586">
        <f t="shared" ref="M87:T87" si="1106">M65</f>
        <v>30</v>
      </c>
      <c r="N87" s="574">
        <f t="shared" si="1106"/>
        <v>32</v>
      </c>
      <c r="O87" s="574">
        <f t="shared" si="1106"/>
        <v>32</v>
      </c>
      <c r="P87" s="574">
        <f t="shared" si="1106"/>
        <v>33</v>
      </c>
      <c r="Q87" s="574">
        <f t="shared" si="1106"/>
        <v>37</v>
      </c>
      <c r="R87" s="574">
        <f t="shared" si="1106"/>
        <v>34</v>
      </c>
      <c r="S87" s="574">
        <f t="shared" si="1106"/>
        <v>38</v>
      </c>
      <c r="T87" s="574">
        <f t="shared" si="1106"/>
        <v>36</v>
      </c>
      <c r="U87" s="628">
        <f t="shared" ref="U87:V87" si="1107">U65</f>
        <v>36</v>
      </c>
      <c r="V87" s="628">
        <f t="shared" si="1107"/>
        <v>31</v>
      </c>
      <c r="W87" s="575">
        <f t="shared" ref="W87" si="1108">W65</f>
        <v>41</v>
      </c>
      <c r="X87" s="171" t="s">
        <v>587</v>
      </c>
      <c r="Y87" s="586">
        <f t="shared" ref="Y87:AB87" si="1109">Y65</f>
        <v>31</v>
      </c>
      <c r="Z87" s="574">
        <f t="shared" si="1109"/>
        <v>32.5</v>
      </c>
      <c r="AA87" s="574">
        <f t="shared" si="1109"/>
        <v>35.5</v>
      </c>
      <c r="AB87" s="574">
        <f t="shared" si="1109"/>
        <v>37</v>
      </c>
      <c r="AC87" s="1208">
        <f t="shared" ref="AC87" si="1110">AC65</f>
        <v>37</v>
      </c>
      <c r="AD87" s="677">
        <f t="shared" si="98"/>
        <v>4.8387096774193547E-2</v>
      </c>
      <c r="AE87" s="677">
        <f t="shared" si="99"/>
        <v>9.2307692307692313E-2</v>
      </c>
      <c r="AF87" s="677">
        <f t="shared" si="100"/>
        <v>4.2253521126760563E-2</v>
      </c>
      <c r="AG87" s="1219">
        <f t="shared" si="101"/>
        <v>0</v>
      </c>
      <c r="AN87" s="171" t="s">
        <v>587</v>
      </c>
      <c r="AO87" s="586">
        <f t="shared" ref="AO87:AV87" si="1111">AO65</f>
        <v>0</v>
      </c>
      <c r="AP87" s="574">
        <f t="shared" si="1111"/>
        <v>19.906044000000001</v>
      </c>
      <c r="AQ87" s="574">
        <f t="shared" si="1111"/>
        <v>176.87150500000001</v>
      </c>
      <c r="AR87" s="574">
        <f t="shared" si="1111"/>
        <v>291.47725800000001</v>
      </c>
      <c r="AS87" s="574">
        <f t="shared" si="1111"/>
        <v>226.931996</v>
      </c>
      <c r="AT87" s="574">
        <f t="shared" si="1111"/>
        <v>92.21893</v>
      </c>
      <c r="AU87" s="574">
        <f t="shared" si="1111"/>
        <v>62.944704999999999</v>
      </c>
      <c r="AV87" s="587">
        <f t="shared" si="1111"/>
        <v>591.49487399999998</v>
      </c>
      <c r="AW87" s="586">
        <f t="shared" ref="AW87:BD87" si="1112">AW65</f>
        <v>1.08769052788021</v>
      </c>
      <c r="AX87" s="574">
        <f t="shared" si="1112"/>
        <v>39.63695601122064</v>
      </c>
      <c r="AY87" s="574">
        <f t="shared" si="1112"/>
        <v>301.73051985620646</v>
      </c>
      <c r="AZ87" s="574">
        <f t="shared" si="1112"/>
        <v>420.01709330198327</v>
      </c>
      <c r="BA87" s="574">
        <f t="shared" si="1112"/>
        <v>378.30023292527522</v>
      </c>
      <c r="BB87" s="574">
        <f t="shared" si="1112"/>
        <v>192.52950983908289</v>
      </c>
      <c r="BC87" s="574">
        <f t="shared" si="1112"/>
        <v>129.15974101607335</v>
      </c>
      <c r="BD87" s="587">
        <f t="shared" si="1112"/>
        <v>651.46477864039605</v>
      </c>
      <c r="BE87" s="586">
        <f t="shared" ref="BE87:BL87" si="1113">BE65</f>
        <v>1.0000010153850201</v>
      </c>
      <c r="BF87" s="574">
        <f t="shared" si="1113"/>
        <v>75.413882890950603</v>
      </c>
      <c r="BG87" s="574">
        <f t="shared" si="1113"/>
        <v>386.78528856093902</v>
      </c>
      <c r="BH87" s="574">
        <f t="shared" si="1113"/>
        <v>546.00306671644603</v>
      </c>
      <c r="BI87" s="574">
        <f t="shared" si="1113"/>
        <v>504.83814194780803</v>
      </c>
      <c r="BJ87" s="574">
        <f t="shared" si="1113"/>
        <v>273.94049014391697</v>
      </c>
      <c r="BK87" s="574">
        <f t="shared" si="1113"/>
        <v>228.812617014295</v>
      </c>
      <c r="BL87" s="587">
        <f t="shared" si="1113"/>
        <v>644.56403017563002</v>
      </c>
      <c r="BN87" s="171" t="s">
        <v>587</v>
      </c>
      <c r="BO87" s="714">
        <f t="shared" ref="BO87:BT87" si="1114">BO65</f>
        <v>156.15554599999999</v>
      </c>
      <c r="BP87" s="715">
        <f t="shared" si="1114"/>
        <v>1064.75134</v>
      </c>
      <c r="BQ87" s="715">
        <f t="shared" si="1114"/>
        <v>229.125473</v>
      </c>
      <c r="BR87" s="715">
        <f t="shared" si="1114"/>
        <v>93.772029000000003</v>
      </c>
      <c r="BS87" s="715">
        <f t="shared" si="1114"/>
        <v>49.973753000000002</v>
      </c>
      <c r="BT87" s="716">
        <f t="shared" si="1114"/>
        <v>24.222715999999998</v>
      </c>
      <c r="BU87" s="714">
        <f t="shared" ref="BU87:BZ87" si="1115">BU65</f>
        <v>290.71790546598498</v>
      </c>
      <c r="BV87" s="715">
        <f t="shared" si="1115"/>
        <v>1244.9605187196278</v>
      </c>
      <c r="BW87" s="715">
        <f t="shared" si="1115"/>
        <v>476.00919401058479</v>
      </c>
      <c r="BX87" s="715">
        <f t="shared" si="1115"/>
        <v>244.13293136894541</v>
      </c>
      <c r="BY87" s="715">
        <f t="shared" si="1115"/>
        <v>107.83814136003042</v>
      </c>
      <c r="BZ87" s="716">
        <f t="shared" si="1115"/>
        <v>40.985736658929902</v>
      </c>
      <c r="CA87" s="714">
        <f t="shared" ref="CA87:CF87" si="1116">CA65</f>
        <v>421.20962862762099</v>
      </c>
      <c r="CB87" s="715">
        <f t="shared" si="1116"/>
        <v>1341.27646181408</v>
      </c>
      <c r="CC87" s="715">
        <f t="shared" si="1116"/>
        <v>715.43296635022205</v>
      </c>
      <c r="CD87" s="715">
        <f t="shared" si="1116"/>
        <v>349.86199113418797</v>
      </c>
      <c r="CE87" s="715">
        <f t="shared" si="1116"/>
        <v>188.08655934663301</v>
      </c>
      <c r="CF87" s="716">
        <f t="shared" si="1116"/>
        <v>66.699539820244794</v>
      </c>
      <c r="CG87" s="429"/>
      <c r="CH87" s="171" t="s">
        <v>587</v>
      </c>
      <c r="CI87" s="586">
        <f t="shared" ref="CI87:CK87" si="1117">CI65</f>
        <v>346.21761800000002</v>
      </c>
      <c r="CJ87" s="574">
        <f t="shared" si="1117"/>
        <v>1219.5681569999999</v>
      </c>
      <c r="CK87" s="574">
        <f t="shared" si="1117"/>
        <v>52.215082000000002</v>
      </c>
      <c r="CL87" s="586">
        <f t="shared" ref="CL87:CN87" si="1118">CL65</f>
        <v>498.50884274404473</v>
      </c>
      <c r="CM87" s="574">
        <f t="shared" si="1118"/>
        <v>1804.7580569591421</v>
      </c>
      <c r="CN87" s="574">
        <f t="shared" si="1118"/>
        <v>101.37752788091626</v>
      </c>
      <c r="CO87" s="586">
        <f t="shared" ref="CO87:CQ87" si="1119">CO65</f>
        <v>687.46614387991303</v>
      </c>
      <c r="CP87" s="574">
        <f t="shared" si="1119"/>
        <v>2222.4321888161599</v>
      </c>
      <c r="CQ87" s="587">
        <f t="shared" si="1119"/>
        <v>172.66881439691701</v>
      </c>
      <c r="CR87" s="429"/>
      <c r="DG87" s="171" t="s">
        <v>587</v>
      </c>
      <c r="DH87" s="832"/>
      <c r="DI87" s="833"/>
      <c r="DJ87" s="833"/>
      <c r="DK87" s="833"/>
      <c r="DL87" s="833"/>
      <c r="DM87" s="834"/>
      <c r="DO87" s="171" t="s">
        <v>587</v>
      </c>
      <c r="DP87" s="704">
        <f t="shared" ref="DP87:DR87" si="1120">DP65</f>
        <v>1093.853977</v>
      </c>
      <c r="DQ87" s="573">
        <f t="shared" si="1120"/>
        <v>1456.1385863605867</v>
      </c>
      <c r="DR87" s="585">
        <f t="shared" si="1120"/>
        <v>1887.1938765545101</v>
      </c>
      <c r="DS87" s="63"/>
      <c r="DT87" s="171" t="s">
        <v>587</v>
      </c>
      <c r="DU87" s="586">
        <f t="shared" ref="DU87:DW87" si="1121">DU65</f>
        <v>1565.0009219999999</v>
      </c>
      <c r="DV87" s="574">
        <f t="shared" si="1121"/>
        <v>2301.6445080799144</v>
      </c>
      <c r="DW87" s="587">
        <f t="shared" si="1121"/>
        <v>3027.5670912468199</v>
      </c>
      <c r="DX87" s="63"/>
      <c r="DY87" s="171" t="s">
        <v>587</v>
      </c>
      <c r="DZ87" s="1095">
        <f t="shared" si="410"/>
        <v>1.4307219746937025</v>
      </c>
      <c r="EA87" s="792">
        <f t="shared" si="411"/>
        <v>1.5806493486533797</v>
      </c>
      <c r="EB87" s="781">
        <f t="shared" si="412"/>
        <v>1.6042692427416696</v>
      </c>
      <c r="ED87" s="541"/>
      <c r="EE87" s="171" t="s">
        <v>587</v>
      </c>
      <c r="EF87" s="586">
        <f t="shared" ref="EF87:EJ87" si="1122">EF65</f>
        <v>764.32437400000003</v>
      </c>
      <c r="EG87" s="574">
        <f t="shared" si="1122"/>
        <v>49.258856000000002</v>
      </c>
      <c r="EH87" s="574">
        <f t="shared" si="1122"/>
        <v>182.05340100000001</v>
      </c>
      <c r="EI87" s="574">
        <f t="shared" si="1122"/>
        <v>68.264111999999997</v>
      </c>
      <c r="EJ87" s="574">
        <f t="shared" si="1122"/>
        <v>29.953233000000001</v>
      </c>
      <c r="EK87" s="584">
        <f t="shared" ref="EK87:EO87" si="1123">EK65</f>
        <v>913.60723592620195</v>
      </c>
      <c r="EL87" s="573">
        <f t="shared" si="1123"/>
        <v>41.082809762002142</v>
      </c>
      <c r="EM87" s="573">
        <f t="shared" si="1123"/>
        <v>250.66011428326939</v>
      </c>
      <c r="EN87" s="573">
        <f t="shared" si="1123"/>
        <v>146.96970680174758</v>
      </c>
      <c r="EO87" s="573">
        <f t="shared" si="1123"/>
        <v>103.81871958736562</v>
      </c>
      <c r="EP87" s="584">
        <f t="shared" ref="EP87:ET87" si="1124">EP65</f>
        <v>1146.8441920329701</v>
      </c>
      <c r="EQ87" s="573">
        <f t="shared" si="1124"/>
        <v>56.078385832438798</v>
      </c>
      <c r="ER87" s="573">
        <f t="shared" si="1124"/>
        <v>306.78027312729699</v>
      </c>
      <c r="ES87" s="573">
        <f t="shared" si="1124"/>
        <v>199.67223092420801</v>
      </c>
      <c r="ET87" s="585">
        <f t="shared" si="1124"/>
        <v>177.818794637601</v>
      </c>
      <c r="EV87" s="171" t="s">
        <v>587</v>
      </c>
      <c r="EW87" s="586">
        <f t="shared" ref="EW87:FD87" si="1125">EW65</f>
        <v>538.74649999999997</v>
      </c>
      <c r="EX87" s="574">
        <f t="shared" si="1125"/>
        <v>176.54576800000001</v>
      </c>
      <c r="EY87" s="574">
        <f t="shared" si="1125"/>
        <v>45.642930999999997</v>
      </c>
      <c r="EZ87" s="574">
        <f t="shared" si="1125"/>
        <v>3.3891749999999998</v>
      </c>
      <c r="FA87" s="586">
        <f t="shared" si="1125"/>
        <v>776.38733100000002</v>
      </c>
      <c r="FB87" s="574">
        <f t="shared" si="1125"/>
        <v>560.72337100000004</v>
      </c>
      <c r="FC87" s="574">
        <f t="shared" si="1125"/>
        <v>84.052507000000006</v>
      </c>
      <c r="FD87" s="574">
        <f t="shared" si="1125"/>
        <v>14.682133</v>
      </c>
      <c r="FE87" s="583">
        <f t="shared" ref="FE87:FL87" si="1126">FE65</f>
        <v>504.7363885271277</v>
      </c>
      <c r="FF87" s="561">
        <f t="shared" si="1126"/>
        <v>349.43072082227764</v>
      </c>
      <c r="FG87" s="561">
        <f t="shared" si="1126"/>
        <v>49.832761083568585</v>
      </c>
      <c r="FH87" s="562">
        <f t="shared" si="1126"/>
        <v>9.6073654932280999</v>
      </c>
      <c r="FI87" s="583">
        <f t="shared" si="1126"/>
        <v>830.01372668517081</v>
      </c>
      <c r="FJ87" s="561">
        <f t="shared" si="1126"/>
        <v>1004.859054972415</v>
      </c>
      <c r="FK87" s="561">
        <f t="shared" si="1126"/>
        <v>182.45455051261069</v>
      </c>
      <c r="FL87" s="562">
        <f t="shared" si="1126"/>
        <v>27.59924387229999</v>
      </c>
      <c r="FM87" s="703">
        <f t="shared" ref="FM87:FT87" si="1127">FM65</f>
        <v>467.72888890165899</v>
      </c>
      <c r="FN87" s="704">
        <f t="shared" si="1127"/>
        <v>532.00317615642803</v>
      </c>
      <c r="FO87" s="704">
        <f t="shared" si="1127"/>
        <v>138.38226659206299</v>
      </c>
      <c r="FP87" s="173">
        <f t="shared" si="1127"/>
        <v>8.7298603828182699</v>
      </c>
      <c r="FQ87" s="703">
        <f t="shared" si="1127"/>
        <v>843.276791983252</v>
      </c>
      <c r="FR87" s="704">
        <f t="shared" si="1127"/>
        <v>1450.53082433342</v>
      </c>
      <c r="FS87" s="704">
        <f t="shared" si="1127"/>
        <v>311.78832576022302</v>
      </c>
      <c r="FT87" s="173">
        <f t="shared" si="1127"/>
        <v>28.761548973082601</v>
      </c>
      <c r="FV87" s="171" t="s">
        <v>587</v>
      </c>
      <c r="FW87" s="586">
        <f t="shared" ref="FW87:GH87" si="1128">FW65</f>
        <v>184.12724</v>
      </c>
      <c r="FX87" s="574">
        <f t="shared" si="1128"/>
        <v>56.216925000000003</v>
      </c>
      <c r="FY87" s="574">
        <f t="shared" si="1128"/>
        <v>22.053723999999999</v>
      </c>
      <c r="FZ87" s="587">
        <f t="shared" si="1128"/>
        <v>17.872858000000001</v>
      </c>
      <c r="GA87" s="586">
        <f t="shared" si="1128"/>
        <v>265.04013964947865</v>
      </c>
      <c r="GB87" s="574">
        <f t="shared" si="1128"/>
        <v>134.30642813145795</v>
      </c>
      <c r="GC87" s="574">
        <f t="shared" si="1128"/>
        <v>77.510835012854486</v>
      </c>
      <c r="GD87" s="587">
        <f t="shared" si="1128"/>
        <v>24.591137878591489</v>
      </c>
      <c r="GE87" s="586">
        <f t="shared" si="1128"/>
        <v>332.032127562965</v>
      </c>
      <c r="GF87" s="574">
        <f t="shared" si="1128"/>
        <v>201.93199600629501</v>
      </c>
      <c r="GG87" s="574">
        <f t="shared" si="1128"/>
        <v>114.828703473705</v>
      </c>
      <c r="GH87" s="587">
        <f t="shared" si="1128"/>
        <v>35.478471646141102</v>
      </c>
      <c r="GJ87" s="171" t="s">
        <v>587</v>
      </c>
      <c r="GK87" s="573">
        <f t="shared" ref="GK87:GM87" si="1129">GK65</f>
        <v>1237.9986650000001</v>
      </c>
      <c r="GL87" s="573">
        <f t="shared" si="1129"/>
        <v>1723.524911153932</v>
      </c>
      <c r="GM87" s="585">
        <f t="shared" si="1129"/>
        <v>2151.8534520626199</v>
      </c>
      <c r="GO87" s="171" t="s">
        <v>587</v>
      </c>
      <c r="GP87" s="586">
        <f t="shared" ref="GP87:GX87" si="1130">GP65</f>
        <v>1093.853977</v>
      </c>
      <c r="GQ87" s="574">
        <f t="shared" si="1130"/>
        <v>42.674734000000001</v>
      </c>
      <c r="GR87" s="587">
        <f t="shared" si="1130"/>
        <v>101.469954</v>
      </c>
      <c r="GS87" s="584">
        <f t="shared" si="1130"/>
        <v>1456.1385863605867</v>
      </c>
      <c r="GT87" s="573">
        <f t="shared" si="1130"/>
        <v>121.34960259892244</v>
      </c>
      <c r="GU87" s="585">
        <f t="shared" si="1130"/>
        <v>146.03672219442288</v>
      </c>
      <c r="GV87" s="584">
        <f t="shared" si="1130"/>
        <v>1887.1938765545101</v>
      </c>
      <c r="GW87" s="573">
        <f t="shared" si="1130"/>
        <v>156.145619299201</v>
      </c>
      <c r="GX87" s="585">
        <f t="shared" si="1130"/>
        <v>108.513956208907</v>
      </c>
      <c r="GZ87" s="171" t="s">
        <v>587</v>
      </c>
      <c r="HA87" s="586">
        <f t="shared" ref="HA87:HI87" si="1131">HA65</f>
        <v>77.337192999999999</v>
      </c>
      <c r="HB87" s="574">
        <f t="shared" si="1131"/>
        <v>1138.886166</v>
      </c>
      <c r="HC87" s="587">
        <f t="shared" si="1131"/>
        <v>21.775306</v>
      </c>
      <c r="HD87" s="584">
        <f t="shared" si="1131"/>
        <v>103.78497376524416</v>
      </c>
      <c r="HE87" s="573">
        <f t="shared" si="1131"/>
        <v>1553.3907981871018</v>
      </c>
      <c r="HF87" s="585">
        <f t="shared" si="1131"/>
        <v>66.349139201586013</v>
      </c>
      <c r="HG87" s="584">
        <f t="shared" si="1131"/>
        <v>95.102722062993493</v>
      </c>
      <c r="HH87" s="573">
        <f t="shared" si="1131"/>
        <v>1999.7967687943899</v>
      </c>
      <c r="HI87" s="585">
        <f t="shared" si="1131"/>
        <v>56.953961205236737</v>
      </c>
      <c r="HK87" s="171" t="s">
        <v>587</v>
      </c>
      <c r="HL87" s="574">
        <f t="shared" ref="HL87:HO87" si="1132">HL65</f>
        <v>1093.853977</v>
      </c>
      <c r="HM87" s="574">
        <f t="shared" ref="HM87" si="1133">HM65</f>
        <v>2223.823378</v>
      </c>
      <c r="HN87" s="781">
        <f t="shared" si="477"/>
        <v>2.0330166775085008</v>
      </c>
      <c r="HO87" s="586">
        <f t="shared" si="1132"/>
        <v>1456.1385863605867</v>
      </c>
      <c r="HP87" s="574">
        <f t="shared" ref="HP87" si="1134">HP65</f>
        <v>3501.311052439431</v>
      </c>
      <c r="HQ87" s="781">
        <f t="shared" si="479"/>
        <v>2.4045177328831486</v>
      </c>
      <c r="HR87" s="574">
        <f>HR65</f>
        <v>1887.1938765545101</v>
      </c>
      <c r="HS87" s="573">
        <f>HS65</f>
        <v>4904.6893343416104</v>
      </c>
      <c r="HT87" s="784">
        <f t="shared" si="480"/>
        <v>2.5989324124430744</v>
      </c>
      <c r="HV87" s="171" t="s">
        <v>587</v>
      </c>
      <c r="HW87" s="586">
        <f>HW65</f>
        <v>60.805539000000003</v>
      </c>
      <c r="HX87" s="574">
        <f>HX65</f>
        <v>227.38553899999999</v>
      </c>
      <c r="HY87" s="792">
        <f t="shared" si="481"/>
        <v>3.7395530528888163</v>
      </c>
      <c r="HZ87" s="574">
        <f>HZ65</f>
        <v>1011.273131</v>
      </c>
      <c r="IA87" s="574">
        <f>IA65</f>
        <v>1965.3302570000001</v>
      </c>
      <c r="IB87" s="792">
        <f t="shared" si="482"/>
        <v>1.9434218083660328</v>
      </c>
      <c r="IC87" s="586">
        <f>IC65</f>
        <v>86.860917737032295</v>
      </c>
      <c r="ID87" s="574">
        <f>ID65</f>
        <v>336.45978246020701</v>
      </c>
      <c r="IE87" s="792">
        <f t="shared" si="483"/>
        <v>3.8735462533198715</v>
      </c>
      <c r="IF87" s="574">
        <f>IF65</f>
        <v>1324.6823569804658</v>
      </c>
      <c r="IG87" s="574">
        <f>IG65</f>
        <v>3114.8175056967343</v>
      </c>
      <c r="IH87" s="790">
        <f t="shared" si="126"/>
        <v>2.3513693598190395</v>
      </c>
      <c r="II87" s="586">
        <f>II65</f>
        <v>91.362586363558194</v>
      </c>
      <c r="IJ87" s="574">
        <f>IJ65</f>
        <v>375.14887686272402</v>
      </c>
      <c r="IK87" s="792">
        <f t="shared" si="484"/>
        <v>4.1061543000752847</v>
      </c>
      <c r="IL87" s="574">
        <f>IL65</f>
        <v>1747.9865099507199</v>
      </c>
      <c r="IM87" s="574">
        <f>IM65</f>
        <v>4456.0239227128804</v>
      </c>
      <c r="IN87" s="781">
        <f t="shared" si="485"/>
        <v>2.5492324439268739</v>
      </c>
      <c r="IO87" s="574"/>
      <c r="IP87" s="171" t="s">
        <v>587</v>
      </c>
      <c r="IQ87" s="586">
        <f>IQ65</f>
        <v>448.36622699999998</v>
      </c>
      <c r="IR87" s="574">
        <f t="shared" ref="IR87:JH87" si="1135">IR65</f>
        <v>327.82144599999998</v>
      </c>
      <c r="IS87" s="574">
        <f t="shared" si="1135"/>
        <v>214.348266</v>
      </c>
      <c r="IT87" s="574">
        <f t="shared" si="1135"/>
        <v>75.075985000000003</v>
      </c>
      <c r="IU87" s="574">
        <f t="shared" si="1135"/>
        <v>28.242052000000001</v>
      </c>
      <c r="IV87" s="574">
        <f t="shared" si="1135"/>
        <v>2223.823378</v>
      </c>
      <c r="IW87" s="709">
        <f t="shared" si="1135"/>
        <v>361.53515301769011</v>
      </c>
      <c r="IX87" s="710">
        <f t="shared" si="1135"/>
        <v>453.15949648233828</v>
      </c>
      <c r="IY87" s="710">
        <f t="shared" si="1135"/>
        <v>405.99819821817931</v>
      </c>
      <c r="IZ87" s="710">
        <f t="shared" si="1135"/>
        <v>182.0745166484528</v>
      </c>
      <c r="JA87" s="710">
        <f t="shared" si="1135"/>
        <v>53.37122199392627</v>
      </c>
      <c r="JB87" s="627">
        <f t="shared" si="1135"/>
        <v>3501.311052439431</v>
      </c>
      <c r="JC87" s="709">
        <f t="shared" si="1135"/>
        <v>281.590560573716</v>
      </c>
      <c r="JD87" s="710">
        <f t="shared" si="1135"/>
        <v>619.46857385184296</v>
      </c>
      <c r="JE87" s="710">
        <f t="shared" si="1135"/>
        <v>652.449132953858</v>
      </c>
      <c r="JF87" s="710">
        <f t="shared" si="1135"/>
        <v>260.511418370218</v>
      </c>
      <c r="JG87" s="710">
        <f t="shared" si="1135"/>
        <v>73.174190804877298</v>
      </c>
      <c r="JH87" s="627">
        <f t="shared" si="1135"/>
        <v>4904.6893343416104</v>
      </c>
      <c r="JJ87" s="171" t="s">
        <v>587</v>
      </c>
      <c r="JK87" s="586">
        <f t="shared" ref="JK87:JV87" si="1136">JK65</f>
        <v>63.479056999999997</v>
      </c>
      <c r="JL87" s="574">
        <f t="shared" si="1136"/>
        <v>937.59235200000001</v>
      </c>
      <c r="JM87" s="574">
        <f t="shared" si="1136"/>
        <v>80.438232999999997</v>
      </c>
      <c r="JN87" s="587">
        <f t="shared" si="1136"/>
        <v>12.344334999999999</v>
      </c>
      <c r="JO87" s="586">
        <f t="shared" si="1136"/>
        <v>156.76192502513675</v>
      </c>
      <c r="JP87" s="574">
        <f t="shared" si="1136"/>
        <v>1035.2243752290574</v>
      </c>
      <c r="JQ87" s="574">
        <f t="shared" si="1136"/>
        <v>233.00765025581879</v>
      </c>
      <c r="JR87" s="587">
        <f t="shared" si="1136"/>
        <v>31.144635850573891</v>
      </c>
      <c r="JS87" s="586">
        <f t="shared" si="1136"/>
        <v>315.48108462094598</v>
      </c>
      <c r="JT87" s="574">
        <f t="shared" si="1136"/>
        <v>1137.017695168403</v>
      </c>
      <c r="JU87" s="574">
        <f t="shared" si="1136"/>
        <v>400.48856263673702</v>
      </c>
      <c r="JV87" s="587">
        <f t="shared" si="1136"/>
        <v>34.206534128422703</v>
      </c>
      <c r="JX87" s="171" t="s">
        <v>587</v>
      </c>
      <c r="JY87" s="586">
        <f t="shared" ref="JY87:KB87" si="1137">JY65</f>
        <v>633.32817977770696</v>
      </c>
      <c r="JZ87" s="574">
        <f t="shared" si="1137"/>
        <v>758.72348183489203</v>
      </c>
      <c r="KA87" s="574">
        <f t="shared" si="1137"/>
        <v>339.02933185982602</v>
      </c>
      <c r="KB87" s="575">
        <f t="shared" si="1137"/>
        <v>156.112883082087</v>
      </c>
      <c r="KC87" s="604"/>
      <c r="KD87" s="171" t="s">
        <v>587</v>
      </c>
      <c r="KE87" s="586">
        <f t="shared" ref="KE87:KV87" si="1138">KE65</f>
        <v>7.6353896095895504</v>
      </c>
      <c r="KF87" s="574">
        <f t="shared" si="1138"/>
        <v>3.7497824128172899</v>
      </c>
      <c r="KG87" s="574">
        <f t="shared" si="1138"/>
        <v>3.7401394971131401</v>
      </c>
      <c r="KH87" s="574">
        <f t="shared" si="1138"/>
        <v>65.026221338350794</v>
      </c>
      <c r="KI87" s="574">
        <f t="shared" si="1138"/>
        <v>839.72940183312801</v>
      </c>
      <c r="KJ87" s="587">
        <f t="shared" si="1138"/>
        <v>822.58051338470102</v>
      </c>
      <c r="KK87" s="586">
        <f t="shared" si="1138"/>
        <v>0</v>
      </c>
      <c r="KL87" s="574">
        <f t="shared" si="1138"/>
        <v>3.8952501124764201</v>
      </c>
      <c r="KM87" s="574">
        <f t="shared" si="1138"/>
        <v>11.8909820577256</v>
      </c>
      <c r="KN87" s="574">
        <f t="shared" si="1138"/>
        <v>7.6353896095895504</v>
      </c>
      <c r="KO87" s="574">
        <f t="shared" si="1138"/>
        <v>59.918582637491497</v>
      </c>
      <c r="KP87" s="587">
        <f t="shared" si="1138"/>
        <v>8.0223819462750896</v>
      </c>
      <c r="KQ87" s="586">
        <f t="shared" si="1138"/>
        <v>7.6353896095895504</v>
      </c>
      <c r="KR87" s="574">
        <f t="shared" si="1138"/>
        <v>7.6450325252937104</v>
      </c>
      <c r="KS87" s="574">
        <f t="shared" si="1138"/>
        <v>15.6311215548387</v>
      </c>
      <c r="KT87" s="574">
        <f t="shared" si="1138"/>
        <v>80.401098440468104</v>
      </c>
      <c r="KU87" s="574">
        <f t="shared" si="1138"/>
        <v>928.23905735222195</v>
      </c>
      <c r="KV87" s="587">
        <f t="shared" si="1138"/>
        <v>842.11711519708194</v>
      </c>
      <c r="KW87" s="429"/>
      <c r="KX87" s="171" t="s">
        <v>587</v>
      </c>
      <c r="KY87" s="586">
        <f t="shared" ref="KY87:LA87" si="1139">KY65</f>
        <v>340.8150149999999</v>
      </c>
      <c r="KZ87" s="574">
        <f t="shared" si="1139"/>
        <v>568.36968100000001</v>
      </c>
      <c r="LA87" s="587">
        <f t="shared" si="1139"/>
        <v>184.66928100000001</v>
      </c>
      <c r="LB87" s="586">
        <f t="shared" ref="LB87:LD87" si="1140">LB65</f>
        <v>338.55084797935751</v>
      </c>
      <c r="LC87" s="574">
        <f t="shared" si="1140"/>
        <v>863.40219833413471</v>
      </c>
      <c r="LD87" s="587">
        <f t="shared" si="1140"/>
        <v>254.18554004709458</v>
      </c>
      <c r="LE87" s="586">
        <f t="shared" ref="LE87:LG87" si="1141">LE65</f>
        <v>419.31064980694123</v>
      </c>
      <c r="LF87" s="574">
        <f t="shared" si="1141"/>
        <v>1144.5220938356299</v>
      </c>
      <c r="LG87" s="587">
        <f t="shared" si="1141"/>
        <v>323.36113291193902</v>
      </c>
      <c r="LH87" s="426"/>
      <c r="LI87" s="171" t="s">
        <v>587</v>
      </c>
      <c r="LJ87" s="586">
        <f t="shared" ref="LJ87:MA87" si="1142">LJ65</f>
        <v>806.09039700000005</v>
      </c>
      <c r="LK87" s="574">
        <f t="shared" si="1142"/>
        <v>717.84726599999999</v>
      </c>
      <c r="LL87" s="574">
        <f t="shared" si="1142"/>
        <v>88.243131000000005</v>
      </c>
      <c r="LM87" s="574">
        <f t="shared" si="1142"/>
        <v>547.16142000000002</v>
      </c>
      <c r="LN87" s="574">
        <f t="shared" si="1142"/>
        <v>21.981387000000002</v>
      </c>
      <c r="LO87" s="587">
        <f t="shared" si="1142"/>
        <v>34.397025999999997</v>
      </c>
      <c r="LP87" s="586">
        <f t="shared" si="1142"/>
        <v>1337.9697759103674</v>
      </c>
      <c r="LQ87" s="574">
        <f t="shared" si="1142"/>
        <v>1154.7845171625725</v>
      </c>
      <c r="LR87" s="574">
        <f t="shared" si="1142"/>
        <v>183.18525874779505</v>
      </c>
      <c r="LS87" s="574">
        <f t="shared" si="1142"/>
        <v>513.18057460511307</v>
      </c>
      <c r="LT87" s="574">
        <f t="shared" si="1142"/>
        <v>36.166726021000898</v>
      </c>
      <c r="LU87" s="587">
        <f t="shared" si="1142"/>
        <v>125.23191770072053</v>
      </c>
      <c r="LV87" s="586">
        <f t="shared" si="1142"/>
        <v>1809.74532989159</v>
      </c>
      <c r="LW87" s="574">
        <f t="shared" si="1142"/>
        <v>1536.5021513700999</v>
      </c>
      <c r="LX87" s="574">
        <f t="shared" si="1142"/>
        <v>273.24317852149198</v>
      </c>
      <c r="LY87" s="574">
        <f t="shared" si="1142"/>
        <v>502.48082168065503</v>
      </c>
      <c r="LZ87" s="574">
        <f t="shared" si="1142"/>
        <v>57.248814992381597</v>
      </c>
      <c r="MA87" s="587">
        <f t="shared" si="1142"/>
        <v>119.213737503826</v>
      </c>
      <c r="MC87" s="171" t="s">
        <v>587</v>
      </c>
      <c r="MD87" s="586">
        <f t="shared" ref="MD87:MU87" si="1143">MD65</f>
        <v>0</v>
      </c>
      <c r="ME87" s="574">
        <f t="shared" si="1143"/>
        <v>18.869123999999999</v>
      </c>
      <c r="MF87" s="574">
        <f t="shared" si="1143"/>
        <v>163.90482700000001</v>
      </c>
      <c r="MG87" s="574">
        <f t="shared" si="1143"/>
        <v>259.48337400000003</v>
      </c>
      <c r="MH87" s="574">
        <f t="shared" si="1143"/>
        <v>196.73353399999999</v>
      </c>
      <c r="MI87" s="587">
        <f t="shared" si="1143"/>
        <v>78.856407000000004</v>
      </c>
      <c r="MJ87" s="586">
        <f t="shared" si="1143"/>
        <v>0</v>
      </c>
      <c r="MK87" s="574">
        <f t="shared" si="1143"/>
        <v>35.286193899699803</v>
      </c>
      <c r="ML87" s="574">
        <f t="shared" si="1143"/>
        <v>287.13762235867051</v>
      </c>
      <c r="MM87" s="574">
        <f t="shared" si="1143"/>
        <v>375.11782018430779</v>
      </c>
      <c r="MN87" s="574">
        <f t="shared" si="1143"/>
        <v>301.30012743971804</v>
      </c>
      <c r="MO87" s="587">
        <f t="shared" si="1143"/>
        <v>155.94275328017622</v>
      </c>
      <c r="MP87" s="586">
        <f t="shared" si="1143"/>
        <v>1.0000010153850201</v>
      </c>
      <c r="MQ87" s="574">
        <f t="shared" si="1143"/>
        <v>71.673743393837498</v>
      </c>
      <c r="MR87" s="574">
        <f t="shared" si="1143"/>
        <v>368.97563721829601</v>
      </c>
      <c r="MS87" s="574">
        <f t="shared" si="1143"/>
        <v>460.22332600774899</v>
      </c>
      <c r="MT87" s="574">
        <f t="shared" si="1143"/>
        <v>401.00177308844098</v>
      </c>
      <c r="MU87" s="587">
        <f t="shared" si="1143"/>
        <v>233.62767064638999</v>
      </c>
      <c r="MW87" s="171" t="s">
        <v>587</v>
      </c>
      <c r="MX87" s="586">
        <f t="shared" ref="MX87:NF87" si="1144">MX65</f>
        <v>724.34719900000005</v>
      </c>
      <c r="MY87" s="574">
        <f t="shared" si="1144"/>
        <v>689.71970899999997</v>
      </c>
      <c r="MZ87" s="574">
        <f t="shared" si="1144"/>
        <v>34.627490000000002</v>
      </c>
      <c r="NA87" s="584">
        <f t="shared" si="1144"/>
        <v>1163.1690300484161</v>
      </c>
      <c r="NB87" s="573">
        <f t="shared" si="1144"/>
        <v>1092.15471110464</v>
      </c>
      <c r="NC87" s="585">
        <f t="shared" si="1144"/>
        <v>71.014318943776175</v>
      </c>
      <c r="ND87" s="584">
        <f t="shared" si="1144"/>
        <v>1537.6071637451</v>
      </c>
      <c r="NE87" s="573">
        <f t="shared" si="1144"/>
        <v>1419.24050934046</v>
      </c>
      <c r="NF87" s="585">
        <f t="shared" si="1144"/>
        <v>118.366654404646</v>
      </c>
      <c r="NH87" s="171" t="s">
        <v>587</v>
      </c>
      <c r="NI87" s="584">
        <f t="shared" ref="NI87:NR87" si="1145">NI65</f>
        <v>824.05070222506458</v>
      </c>
      <c r="NJ87" s="585">
        <f t="shared" si="1145"/>
        <v>268.10400887957542</v>
      </c>
      <c r="NK87" s="584">
        <f t="shared" si="1145"/>
        <v>52.767474974772149</v>
      </c>
      <c r="NL87" s="573">
        <f t="shared" si="1145"/>
        <v>18.246843969004019</v>
      </c>
      <c r="NM87" s="585">
        <f t="shared" si="1145"/>
        <v>0</v>
      </c>
      <c r="NN87" s="584">
        <f t="shared" si="1145"/>
        <v>1119.2115711474901</v>
      </c>
      <c r="NO87" s="585">
        <f t="shared" si="1145"/>
        <v>300.02893819296827</v>
      </c>
      <c r="NP87" s="584">
        <f t="shared" si="1145"/>
        <v>64.324479238752403</v>
      </c>
      <c r="NQ87" s="573">
        <f t="shared" si="1145"/>
        <v>54.042175165894101</v>
      </c>
      <c r="NR87" s="585">
        <f t="shared" si="1145"/>
        <v>0</v>
      </c>
      <c r="NS87" s="136"/>
      <c r="NT87" s="171" t="s">
        <v>587</v>
      </c>
      <c r="NU87" s="584">
        <f t="shared" ref="NU87:OB87" si="1146">NU65</f>
        <v>178.94209976056604</v>
      </c>
      <c r="NV87" s="573">
        <f t="shared" si="1146"/>
        <v>15.014795258996269</v>
      </c>
      <c r="NW87" s="573">
        <f t="shared" si="1146"/>
        <v>5.4384526394010502</v>
      </c>
      <c r="NX87" s="585">
        <f t="shared" si="1146"/>
        <v>68.708661220612044</v>
      </c>
      <c r="NY87" s="584">
        <f t="shared" si="1146"/>
        <v>172.447836641691</v>
      </c>
      <c r="NZ87" s="573">
        <f t="shared" si="1146"/>
        <v>35.704194567351998</v>
      </c>
      <c r="OA87" s="573">
        <f t="shared" si="1146"/>
        <v>3.3643376025545599</v>
      </c>
      <c r="OB87" s="585">
        <f t="shared" si="1146"/>
        <v>88.512569381370696</v>
      </c>
      <c r="OC87" s="553"/>
      <c r="OD87" s="171" t="s">
        <v>587</v>
      </c>
      <c r="OE87" s="586">
        <f t="shared" ref="OE87:OR87" si="1147">OE65</f>
        <v>104.060802393887</v>
      </c>
      <c r="OF87" s="574">
        <f t="shared" si="1147"/>
        <v>103.903086964515</v>
      </c>
      <c r="OG87" s="574">
        <f t="shared" si="1147"/>
        <v>64.443559720949693</v>
      </c>
      <c r="OH87" s="574">
        <f t="shared" si="1147"/>
        <v>61.782819137342301</v>
      </c>
      <c r="OI87" s="574">
        <f t="shared" si="1147"/>
        <v>576.74026850406301</v>
      </c>
      <c r="OJ87" s="574">
        <f t="shared" si="1147"/>
        <v>44.1678070323036</v>
      </c>
      <c r="OK87" s="587">
        <f t="shared" si="1147"/>
        <v>52.449664878070003</v>
      </c>
      <c r="OL87" s="586">
        <f t="shared" si="1147"/>
        <v>151.12250250136401</v>
      </c>
      <c r="OM87" s="574">
        <f t="shared" si="1147"/>
        <v>121.062748384616</v>
      </c>
      <c r="ON87" s="574">
        <f t="shared" si="1147"/>
        <v>65.597872573496701</v>
      </c>
      <c r="OO87" s="574">
        <f t="shared" si="1147"/>
        <v>62.782820152727403</v>
      </c>
      <c r="OP87" s="574">
        <f t="shared" si="1147"/>
        <v>786.49397792283503</v>
      </c>
      <c r="OQ87" s="574">
        <f t="shared" si="1147"/>
        <v>491.99966373851998</v>
      </c>
      <c r="OR87" s="587">
        <f t="shared" si="1147"/>
        <v>1320.0810566512901</v>
      </c>
      <c r="OT87" s="171" t="s">
        <v>587</v>
      </c>
      <c r="OU87" s="586">
        <f t="shared" ref="OU87:PF87" si="1148">OU65</f>
        <v>111.22456700000001</v>
      </c>
      <c r="OV87" s="574">
        <f t="shared" si="1148"/>
        <v>138.16644500000001</v>
      </c>
      <c r="OW87" s="574">
        <f t="shared" si="1148"/>
        <v>135.47969499999999</v>
      </c>
      <c r="OX87" s="587">
        <f t="shared" si="1148"/>
        <v>375.442071</v>
      </c>
      <c r="OY87" s="586">
        <f t="shared" si="1148"/>
        <v>226.15377138989703</v>
      </c>
      <c r="OZ87" s="574">
        <f t="shared" si="1148"/>
        <v>240.0934087217168</v>
      </c>
      <c r="PA87" s="574">
        <f t="shared" si="1148"/>
        <v>223.38439382034787</v>
      </c>
      <c r="PB87" s="587">
        <f t="shared" si="1148"/>
        <v>675.54430985459942</v>
      </c>
      <c r="PC87" s="586">
        <f t="shared" si="1148"/>
        <v>258.73863857574122</v>
      </c>
      <c r="PD87" s="574">
        <f t="shared" si="1148"/>
        <v>335.53291592063903</v>
      </c>
      <c r="PE87" s="574">
        <f t="shared" si="1148"/>
        <v>405.57641204060502</v>
      </c>
      <c r="PF87" s="587">
        <f t="shared" si="1148"/>
        <v>926.36899237660509</v>
      </c>
      <c r="PH87" s="171" t="s">
        <v>587</v>
      </c>
      <c r="PI87" s="586">
        <f t="shared" ref="PI87:PP87" si="1149">PI65</f>
        <v>146.10982080373381</v>
      </c>
      <c r="PJ87" s="574">
        <f t="shared" si="1149"/>
        <v>150.00894530072901</v>
      </c>
      <c r="PK87" s="574">
        <f t="shared" si="1149"/>
        <v>205.82426069449701</v>
      </c>
      <c r="PL87" s="587">
        <f t="shared" si="1149"/>
        <v>483.17149314163737</v>
      </c>
      <c r="PM87" s="586">
        <f t="shared" si="1149"/>
        <v>112.6288177720069</v>
      </c>
      <c r="PN87" s="574">
        <f t="shared" si="1149"/>
        <v>185.52397061990999</v>
      </c>
      <c r="PO87" s="574">
        <f t="shared" si="1149"/>
        <v>199.75215134610801</v>
      </c>
      <c r="PP87" s="587">
        <f t="shared" si="1149"/>
        <v>443.19749923496795</v>
      </c>
      <c r="PQ87" s="65"/>
      <c r="PR87" s="1030" t="s">
        <v>587</v>
      </c>
      <c r="PS87" s="1041">
        <f t="shared" ref="PS87:PW87" si="1150">PS65</f>
        <v>31.7452407674268</v>
      </c>
      <c r="PT87" s="1042">
        <f t="shared" si="1150"/>
        <v>171.94866523792501</v>
      </c>
      <c r="PU87" s="1042">
        <f t="shared" si="1150"/>
        <v>68.203483911590396</v>
      </c>
      <c r="PV87" s="1042">
        <f t="shared" si="1150"/>
        <v>16.6797667295778</v>
      </c>
      <c r="PW87" s="1039">
        <f t="shared" si="1150"/>
        <v>913.38243960009197</v>
      </c>
      <c r="PX87" s="1040">
        <f t="shared" ref="PX87" si="1151">PX65</f>
        <v>335.64756749848999</v>
      </c>
      <c r="PZ87" s="1030" t="s">
        <v>587</v>
      </c>
      <c r="QA87" s="1041">
        <f t="shared" ref="QA87:QF87" si="1152">QA65</f>
        <v>997.57355630788197</v>
      </c>
      <c r="QB87" s="1042">
        <f t="shared" si="1152"/>
        <v>540.03360743722101</v>
      </c>
      <c r="QC87" s="1042">
        <f t="shared" si="1152"/>
        <v>449.14586797559502</v>
      </c>
      <c r="QD87" s="1042">
        <f t="shared" ref="QD87" si="1153">QD65</f>
        <v>38.470577131779102</v>
      </c>
      <c r="QE87" s="1042">
        <f t="shared" si="1152"/>
        <v>52.417162329846199</v>
      </c>
      <c r="QF87" s="1043">
        <f t="shared" si="1152"/>
        <v>0</v>
      </c>
    </row>
    <row r="88" spans="1:448" ht="13.5" customHeight="1">
      <c r="A88" s="136"/>
      <c r="B88" s="166" t="s">
        <v>607</v>
      </c>
      <c r="C88" s="571">
        <f t="shared" ref="C88" si="1154">SUM(C66:C78)</f>
        <v>84258.669714999996</v>
      </c>
      <c r="D88" s="571">
        <f t="shared" ref="D88:E88" si="1155">SUM(D66:D78)</f>
        <v>82874.04851546853</v>
      </c>
      <c r="E88" s="572">
        <f t="shared" si="1155"/>
        <v>80781.028253722543</v>
      </c>
      <c r="F88" s="136"/>
      <c r="G88" s="166" t="s">
        <v>607</v>
      </c>
      <c r="H88" s="316">
        <f t="shared" si="447"/>
        <v>-3.3084153105126246E-3</v>
      </c>
      <c r="I88" s="658">
        <f t="shared" si="448"/>
        <v>-5.1029014084978952E-3</v>
      </c>
      <c r="J88" s="576"/>
      <c r="K88" s="63"/>
      <c r="L88" s="166" t="s">
        <v>607</v>
      </c>
      <c r="M88" s="571">
        <f>SUM(M66:M78)</f>
        <v>969</v>
      </c>
      <c r="N88" s="571">
        <f t="shared" ref="N88:T88" si="1156">SUM(N66:N78)</f>
        <v>1042</v>
      </c>
      <c r="O88" s="571">
        <f t="shared" si="1156"/>
        <v>967</v>
      </c>
      <c r="P88" s="571">
        <f t="shared" si="1156"/>
        <v>968</v>
      </c>
      <c r="Q88" s="571">
        <f t="shared" si="1156"/>
        <v>959</v>
      </c>
      <c r="R88" s="571">
        <f t="shared" si="1156"/>
        <v>940</v>
      </c>
      <c r="S88" s="571">
        <f t="shared" si="1156"/>
        <v>914</v>
      </c>
      <c r="T88" s="571">
        <f t="shared" si="1156"/>
        <v>901</v>
      </c>
      <c r="U88" s="571">
        <f t="shared" ref="U88:V88" si="1157">SUM(U66:U78)</f>
        <v>892</v>
      </c>
      <c r="V88" s="571">
        <f t="shared" si="1157"/>
        <v>779</v>
      </c>
      <c r="W88" s="572">
        <f t="shared" ref="W88" si="1158">SUM(W66:W78)</f>
        <v>829</v>
      </c>
      <c r="X88" s="166" t="s">
        <v>607</v>
      </c>
      <c r="Y88" s="589">
        <f>(Y9+Y10+Y11+Y12+Y13+Y14+Y15+Y16+Y17+Y18+Y19+Y20+Y21+Y22+Y23+Y24+Y25+Y26+Y27+Y28+Y29+Y30+Y31+Y32+Y33+Y34+Y35+Y36+Y37+Y38+Y39+Y40+Y41+Y42)</f>
        <v>1005.5</v>
      </c>
      <c r="Z88" s="589">
        <f t="shared" ref="Z88:AB88" si="1159">(Z9+Z10+Z11+Z12+Z13+Z14+Z15+Z16+Z17+Z18+Z19+Z20+Z21+Z22+Z23+Z24+Z25+Z26+Z27+Z28+Z29+Z30+Z31+Z32+Z33+Z34+Z35+Z36+Z37+Z38+Z39+Z40+Z41+Z42)</f>
        <v>967.5</v>
      </c>
      <c r="AA88" s="589">
        <f t="shared" si="1159"/>
        <v>949.5</v>
      </c>
      <c r="AB88" s="589">
        <f t="shared" si="1159"/>
        <v>907.5</v>
      </c>
      <c r="AC88" s="1209">
        <f t="shared" ref="AC88" si="1160">(AC9+AC10+AC11+AC12+AC13+AC14+AC15+AC16+AC17+AC18+AC19+AC20+AC21+AC22+AC23+AC24+AC25+AC26+AC27+AC28+AC29+AC30+AC31+AC32+AC33+AC34+AC35+AC36+AC37+AC38+AC39+AC40+AC41+AC42)</f>
        <v>907.5</v>
      </c>
      <c r="AD88" s="578">
        <f>(VLOOKUP($B88,$X$66:$AB$91,3,FALSE)-VLOOKUP($B88,$X$66:$AB$91,2,FALSE))/VLOOKUP($B88,$X$66:$AB$91,2,FALSE)</f>
        <v>-3.7792143212332173E-2</v>
      </c>
      <c r="AE88" s="578">
        <f>(VLOOKUP($B88,$X$66:$AB$91,4,FALSE)-VLOOKUP($B88,$X$66:$AB$91,3,FALSE))/VLOOKUP($B88,$X$66:$AB$91,3,FALSE)</f>
        <v>-1.8604651162790697E-2</v>
      </c>
      <c r="AF88" s="578">
        <f>(VLOOKUP($B88,$X$66:$AB$91,5,FALSE)-VLOOKUP($B88,$X$66:$AB$91,4,FALSE))/VLOOKUP($B88,$X$66:$AB$91,4,FALSE)</f>
        <v>-4.4233807266982623E-2</v>
      </c>
      <c r="AG88" s="1220">
        <f t="shared" si="101"/>
        <v>0</v>
      </c>
      <c r="AN88" s="166" t="s">
        <v>607</v>
      </c>
      <c r="AO88" s="571">
        <f>SUM(AO66:AO78)</f>
        <v>25.839888999999999</v>
      </c>
      <c r="AP88" s="571">
        <f t="shared" ref="AP88:AV88" si="1161">SUM(AP66:AP78)</f>
        <v>1631.3747659999999</v>
      </c>
      <c r="AQ88" s="571">
        <f t="shared" si="1161"/>
        <v>8171.7975109999998</v>
      </c>
      <c r="AR88" s="571">
        <f t="shared" si="1161"/>
        <v>10940.665412000002</v>
      </c>
      <c r="AS88" s="571">
        <f t="shared" si="1161"/>
        <v>11612.575059000001</v>
      </c>
      <c r="AT88" s="571">
        <f t="shared" si="1161"/>
        <v>6774.8166650000003</v>
      </c>
      <c r="AU88" s="571">
        <f t="shared" si="1161"/>
        <v>15880.964538</v>
      </c>
      <c r="AV88" s="571">
        <f t="shared" si="1161"/>
        <v>17540.700538999998</v>
      </c>
      <c r="AW88" s="582">
        <f>SUM(AW66:AW78)</f>
        <v>13.24781217882491</v>
      </c>
      <c r="AX88" s="571">
        <f t="shared" ref="AX88:BD88" si="1162">SUM(AX66:AX78)</f>
        <v>1815.823888584966</v>
      </c>
      <c r="AY88" s="571">
        <f t="shared" si="1162"/>
        <v>9344.1707425003442</v>
      </c>
      <c r="AZ88" s="571">
        <f t="shared" si="1162"/>
        <v>10105.439975307871</v>
      </c>
      <c r="BA88" s="571">
        <f t="shared" si="1162"/>
        <v>10574.67617456261</v>
      </c>
      <c r="BB88" s="571">
        <f t="shared" si="1162"/>
        <v>6115.2882286000049</v>
      </c>
      <c r="BC88" s="571">
        <f t="shared" si="1162"/>
        <v>15743.243482799646</v>
      </c>
      <c r="BD88" s="571">
        <f t="shared" si="1162"/>
        <v>16829.575225816803</v>
      </c>
      <c r="BE88" s="582">
        <f t="shared" ref="BE88:BL88" si="1163">SUM(BE66:BE78)</f>
        <v>24.839656595632388</v>
      </c>
      <c r="BF88" s="571">
        <f t="shared" si="1163"/>
        <v>1716.9006282266739</v>
      </c>
      <c r="BG88" s="571">
        <f t="shared" si="1163"/>
        <v>9687.6207577082805</v>
      </c>
      <c r="BH88" s="571">
        <f t="shared" si="1163"/>
        <v>10143.997553309277</v>
      </c>
      <c r="BI88" s="571">
        <f t="shared" si="1163"/>
        <v>9908.759229683521</v>
      </c>
      <c r="BJ88" s="571">
        <f t="shared" si="1163"/>
        <v>5567.302237013675</v>
      </c>
      <c r="BK88" s="571">
        <f t="shared" si="1163"/>
        <v>14885.890352329785</v>
      </c>
      <c r="BL88" s="572">
        <f t="shared" si="1163"/>
        <v>17265.616736265623</v>
      </c>
      <c r="BN88" s="166" t="s">
        <v>607</v>
      </c>
      <c r="BO88" s="623">
        <f t="shared" ref="BO88:BT88" si="1164">SUM(BO66:BO78)</f>
        <v>11688.935328</v>
      </c>
      <c r="BP88" s="619">
        <f t="shared" si="1164"/>
        <v>27027.053846000003</v>
      </c>
      <c r="BQ88" s="619">
        <f t="shared" si="1164"/>
        <v>14830.097177</v>
      </c>
      <c r="BR88" s="619">
        <f t="shared" si="1164"/>
        <v>13636.017322</v>
      </c>
      <c r="BS88" s="619">
        <f t="shared" si="1164"/>
        <v>8856.4908159999995</v>
      </c>
      <c r="BT88" s="620">
        <f t="shared" si="1164"/>
        <v>8220.0752270000012</v>
      </c>
      <c r="BU88" s="623">
        <f t="shared" ref="BU88:BZ88" si="1165">SUM(BU66:BU78)</f>
        <v>12326.582989806526</v>
      </c>
      <c r="BV88" s="619">
        <f t="shared" si="1165"/>
        <v>25320.906745823166</v>
      </c>
      <c r="BW88" s="619">
        <f t="shared" si="1165"/>
        <v>14987.994797995123</v>
      </c>
      <c r="BX88" s="619">
        <f t="shared" si="1165"/>
        <v>12182.251776560055</v>
      </c>
      <c r="BY88" s="619">
        <f t="shared" si="1165"/>
        <v>9861.7234943345666</v>
      </c>
      <c r="BZ88" s="620">
        <f t="shared" si="1165"/>
        <v>8194.5887109490832</v>
      </c>
      <c r="CA88" s="623">
        <f t="shared" ref="CA88:CF88" si="1166">SUM(CA66:CA78)</f>
        <v>11573.101095482398</v>
      </c>
      <c r="CB88" s="619">
        <f t="shared" si="1166"/>
        <v>24814.675859037656</v>
      </c>
      <c r="CC88" s="619">
        <f t="shared" si="1166"/>
        <v>14303.101321148073</v>
      </c>
      <c r="CD88" s="619">
        <f t="shared" si="1166"/>
        <v>12003.463573842977</v>
      </c>
      <c r="CE88" s="619">
        <f t="shared" si="1166"/>
        <v>10530.119669073491</v>
      </c>
      <c r="CF88" s="620">
        <f t="shared" si="1166"/>
        <v>7556.5667351379643</v>
      </c>
      <c r="CG88" s="429"/>
      <c r="CH88" s="166" t="s">
        <v>607</v>
      </c>
      <c r="CI88" s="582">
        <f t="shared" ref="CI88:CK88" si="1167">SUM(CI66:CI78)</f>
        <v>19239.456438000001</v>
      </c>
      <c r="CJ88" s="571">
        <f t="shared" si="1167"/>
        <v>51456.474493999987</v>
      </c>
      <c r="CK88" s="571">
        <f t="shared" si="1167"/>
        <v>13562.738789000001</v>
      </c>
      <c r="CL88" s="582">
        <f t="shared" ref="CL88:CN88" si="1168">SUM(CL66:CL78)</f>
        <v>19938.205985530123</v>
      </c>
      <c r="CM88" s="571">
        <f t="shared" si="1168"/>
        <v>48976.553831392186</v>
      </c>
      <c r="CN88" s="571">
        <f t="shared" si="1168"/>
        <v>13959.288698546212</v>
      </c>
      <c r="CO88" s="582">
        <f t="shared" ref="CO88:CQ88" si="1169">SUM(CO66:CO78)</f>
        <v>19454.24922895672</v>
      </c>
      <c r="CP88" s="571">
        <f t="shared" si="1169"/>
        <v>46887.234790614792</v>
      </c>
      <c r="CQ88" s="572">
        <f t="shared" si="1169"/>
        <v>14439.544234151064</v>
      </c>
      <c r="CR88" s="429"/>
      <c r="CS88" s="426"/>
      <c r="CT88" s="430"/>
      <c r="CU88" s="430"/>
      <c r="CV88" s="430"/>
      <c r="CW88" s="430"/>
      <c r="CX88" s="430"/>
      <c r="CY88" s="430"/>
      <c r="CZ88" s="430"/>
      <c r="DA88" s="430"/>
      <c r="DG88" s="166" t="s">
        <v>607</v>
      </c>
      <c r="DH88" s="826"/>
      <c r="DI88" s="827"/>
      <c r="DJ88" s="827"/>
      <c r="DK88" s="827"/>
      <c r="DL88" s="827"/>
      <c r="DM88" s="828"/>
      <c r="DO88" s="166" t="s">
        <v>607</v>
      </c>
      <c r="DP88" s="702">
        <f t="shared" ref="DP88:DR88" si="1170">SUM(DP66:DP78)</f>
        <v>46871.124038000002</v>
      </c>
      <c r="DQ88" s="571">
        <f t="shared" si="1170"/>
        <v>46083.543699863061</v>
      </c>
      <c r="DR88" s="572">
        <f t="shared" si="1170"/>
        <v>46217.094900139891</v>
      </c>
      <c r="DS88" s="63"/>
      <c r="DT88" s="166" t="s">
        <v>607</v>
      </c>
      <c r="DU88" s="582">
        <f t="shared" ref="DU88:DW88" si="1171">SUM(DU66:DU78)</f>
        <v>82283.672128000006</v>
      </c>
      <c r="DV88" s="571">
        <f t="shared" si="1171"/>
        <v>81082.049915939351</v>
      </c>
      <c r="DW88" s="572">
        <f t="shared" si="1171"/>
        <v>78985.026430091079</v>
      </c>
      <c r="DX88" s="63"/>
      <c r="DY88" s="166" t="s">
        <v>607</v>
      </c>
      <c r="DZ88" s="1096">
        <f t="shared" si="410"/>
        <v>1.755530165252488</v>
      </c>
      <c r="EA88" s="789">
        <f t="shared" si="411"/>
        <v>1.7594577891843046</v>
      </c>
      <c r="EB88" s="782">
        <f t="shared" si="412"/>
        <v>1.7090002433245108</v>
      </c>
      <c r="ED88" s="541"/>
      <c r="EE88" s="166" t="s">
        <v>607</v>
      </c>
      <c r="EF88" s="582">
        <f t="shared" ref="EF88:EJ88" si="1172">SUM(EF66:EF78)</f>
        <v>26270.499899999999</v>
      </c>
      <c r="EG88" s="571">
        <f t="shared" si="1172"/>
        <v>1912.9363959999998</v>
      </c>
      <c r="EH88" s="571">
        <f t="shared" si="1172"/>
        <v>8942.2033950000005</v>
      </c>
      <c r="EI88" s="571">
        <f t="shared" si="1172"/>
        <v>6298.6561160000001</v>
      </c>
      <c r="EJ88" s="572">
        <f t="shared" si="1172"/>
        <v>3446.8282319999998</v>
      </c>
      <c r="EK88" s="582">
        <f t="shared" ref="EK88:EO88" si="1173">SUM(EK66:EK78)</f>
        <v>26000.440510403099</v>
      </c>
      <c r="EL88" s="571">
        <f t="shared" si="1173"/>
        <v>1771.2370304925996</v>
      </c>
      <c r="EM88" s="571">
        <f t="shared" si="1173"/>
        <v>8578.0567304025444</v>
      </c>
      <c r="EN88" s="571">
        <f t="shared" si="1173"/>
        <v>6002.5601392315375</v>
      </c>
      <c r="EO88" s="572">
        <f t="shared" si="1173"/>
        <v>3731.2492893332746</v>
      </c>
      <c r="EP88" s="582">
        <f t="shared" ref="EP88:ET88" si="1174">SUM(EP66:EP78)</f>
        <v>27392.162705903465</v>
      </c>
      <c r="EQ88" s="571">
        <f t="shared" si="1174"/>
        <v>1586.3278166004179</v>
      </c>
      <c r="ER88" s="571">
        <f t="shared" si="1174"/>
        <v>7953.1845631690603</v>
      </c>
      <c r="ES88" s="571">
        <f t="shared" si="1174"/>
        <v>5501.162688026222</v>
      </c>
      <c r="ET88" s="572">
        <f t="shared" si="1174"/>
        <v>3784.2571264407243</v>
      </c>
      <c r="EV88" s="166" t="s">
        <v>607</v>
      </c>
      <c r="EW88" s="582">
        <f t="shared" ref="EW88:FD88" si="1175">SUM(EW66:EW78)</f>
        <v>8076.909439</v>
      </c>
      <c r="EX88" s="571">
        <f t="shared" si="1175"/>
        <v>9338.1655940000001</v>
      </c>
      <c r="EY88" s="571">
        <f t="shared" si="1175"/>
        <v>6082.2747389999986</v>
      </c>
      <c r="EZ88" s="571">
        <f t="shared" si="1175"/>
        <v>2771.2292889999999</v>
      </c>
      <c r="FA88" s="582">
        <f t="shared" si="1175"/>
        <v>18498.913294000002</v>
      </c>
      <c r="FB88" s="571">
        <f t="shared" si="1175"/>
        <v>30962.602283999997</v>
      </c>
      <c r="FC88" s="571">
        <f t="shared" si="1175"/>
        <v>16301.807484999996</v>
      </c>
      <c r="FD88" s="571">
        <f t="shared" si="1175"/>
        <v>4911.4136369999997</v>
      </c>
      <c r="FE88" s="582">
        <f t="shared" ref="FE88:FL88" si="1176">SUM(FE66:FE78)</f>
        <v>7976.4390755743207</v>
      </c>
      <c r="FF88" s="571">
        <f t="shared" si="1176"/>
        <v>8905.5109080168804</v>
      </c>
      <c r="FG88" s="571">
        <f t="shared" si="1176"/>
        <v>6220.8647733762637</v>
      </c>
      <c r="FH88" s="572">
        <f t="shared" si="1176"/>
        <v>2899.6257518726152</v>
      </c>
      <c r="FI88" s="582">
        <f t="shared" si="1176"/>
        <v>17304.115640891672</v>
      </c>
      <c r="FJ88" s="571">
        <f t="shared" si="1176"/>
        <v>29936.608342601776</v>
      </c>
      <c r="FK88" s="571">
        <f t="shared" si="1176"/>
        <v>16377.27632153424</v>
      </c>
      <c r="FL88" s="572">
        <f t="shared" si="1176"/>
        <v>5225.4665523320036</v>
      </c>
      <c r="FM88" s="701">
        <f t="shared" ref="FM88:FT88" si="1177">SUM(FM66:FM78)</f>
        <v>8349.5530678201467</v>
      </c>
      <c r="FN88" s="702">
        <f t="shared" si="1177"/>
        <v>9392.3163587804665</v>
      </c>
      <c r="FO88" s="702">
        <f t="shared" si="1177"/>
        <v>6836.9552185327057</v>
      </c>
      <c r="FP88" s="611">
        <f t="shared" si="1177"/>
        <v>2807.9354039453474</v>
      </c>
      <c r="FQ88" s="701">
        <f t="shared" si="1177"/>
        <v>17128.974519720916</v>
      </c>
      <c r="FR88" s="702">
        <f t="shared" si="1177"/>
        <v>28892.652173199156</v>
      </c>
      <c r="FS88" s="702">
        <f t="shared" si="1177"/>
        <v>16582.157899469603</v>
      </c>
      <c r="FT88" s="611">
        <f t="shared" si="1177"/>
        <v>4870.1408051728786</v>
      </c>
      <c r="FV88" s="166" t="s">
        <v>607</v>
      </c>
      <c r="FW88" s="582">
        <f t="shared" ref="FW88:GH88" si="1178">SUM(FW66:FW78)</f>
        <v>9582.4492410000003</v>
      </c>
      <c r="FX88" s="571">
        <f t="shared" si="1178"/>
        <v>4304.1345190000011</v>
      </c>
      <c r="FY88" s="571">
        <f t="shared" si="1178"/>
        <v>3186.5669240000002</v>
      </c>
      <c r="FZ88" s="572">
        <f t="shared" si="1178"/>
        <v>1658.8175709999998</v>
      </c>
      <c r="GA88" s="582">
        <f t="shared" si="1178"/>
        <v>9335.0815740209509</v>
      </c>
      <c r="GB88" s="571">
        <f t="shared" si="1178"/>
        <v>4132.7845311265264</v>
      </c>
      <c r="GC88" s="571">
        <f t="shared" si="1178"/>
        <v>3087.3978536953382</v>
      </c>
      <c r="GD88" s="572">
        <f t="shared" si="1178"/>
        <v>1816.4573818185891</v>
      </c>
      <c r="GE88" s="582">
        <f t="shared" si="1178"/>
        <v>8761.4862551223086</v>
      </c>
      <c r="GF88" s="571">
        <f t="shared" si="1178"/>
        <v>3819.2665615431406</v>
      </c>
      <c r="GG88" s="571">
        <f t="shared" si="1178"/>
        <v>2972.5903450119054</v>
      </c>
      <c r="GH88" s="572">
        <f t="shared" si="1178"/>
        <v>1734.0008178424653</v>
      </c>
      <c r="GJ88" s="166" t="s">
        <v>607</v>
      </c>
      <c r="GK88" s="571">
        <f t="shared" ref="GK88:GM88" si="1179">SUM(GK66:GK78)</f>
        <v>51942.942813999987</v>
      </c>
      <c r="GL88" s="571">
        <f t="shared" si="1179"/>
        <v>52787.437935168564</v>
      </c>
      <c r="GM88" s="572">
        <f t="shared" si="1179"/>
        <v>54719.219280000747</v>
      </c>
      <c r="GO88" s="166" t="s">
        <v>607</v>
      </c>
      <c r="GP88" s="582">
        <f t="shared" ref="GP88:GX88" si="1180">SUM(GP66:GP78)</f>
        <v>46869.124042000003</v>
      </c>
      <c r="GQ88" s="571">
        <f t="shared" si="1180"/>
        <v>1051.38733</v>
      </c>
      <c r="GR88" s="572">
        <f t="shared" si="1180"/>
        <v>4022.431442999999</v>
      </c>
      <c r="GS88" s="582">
        <f t="shared" si="1180"/>
        <v>46084.543699081551</v>
      </c>
      <c r="GT88" s="571">
        <f t="shared" si="1180"/>
        <v>1295.6121758721804</v>
      </c>
      <c r="GU88" s="572">
        <f t="shared" si="1180"/>
        <v>5407.2820602148431</v>
      </c>
      <c r="GV88" s="582">
        <f t="shared" si="1180"/>
        <v>46214.094897093739</v>
      </c>
      <c r="GW88" s="571">
        <f t="shared" si="1180"/>
        <v>2392.5163096115807</v>
      </c>
      <c r="GX88" s="572">
        <f t="shared" si="1180"/>
        <v>6112.6080732954379</v>
      </c>
      <c r="GZ88" s="166" t="s">
        <v>607</v>
      </c>
      <c r="HA88" s="582">
        <f t="shared" ref="HA88:HI88" si="1181">SUM(HA66:HA78)</f>
        <v>9574.855845</v>
      </c>
      <c r="HB88" s="571">
        <f t="shared" si="1181"/>
        <v>41822.036123999998</v>
      </c>
      <c r="HC88" s="572">
        <f t="shared" si="1181"/>
        <v>546.05084500000009</v>
      </c>
      <c r="HD88" s="582">
        <f t="shared" si="1181"/>
        <v>9501.8558042564891</v>
      </c>
      <c r="HE88" s="571">
        <f t="shared" si="1181"/>
        <v>42841.494708714847</v>
      </c>
      <c r="HF88" s="572">
        <f t="shared" si="1181"/>
        <v>444.08742219722922</v>
      </c>
      <c r="HG88" s="582">
        <f t="shared" si="1181"/>
        <v>9182.1572827815271</v>
      </c>
      <c r="HH88" s="571">
        <f t="shared" si="1181"/>
        <v>44973.685401099021</v>
      </c>
      <c r="HI88" s="572">
        <f t="shared" si="1181"/>
        <v>563.37659612020718</v>
      </c>
      <c r="HK88" s="166" t="s">
        <v>607</v>
      </c>
      <c r="HL88" s="571">
        <f t="shared" ref="HL88:HO88" si="1182">SUM(HL66:HL78)</f>
        <v>46869.124042000003</v>
      </c>
      <c r="HM88" s="571">
        <f t="shared" ref="HM88" si="1183">SUM(HM66:HM78)</f>
        <v>145470.95761399996</v>
      </c>
      <c r="HN88" s="782">
        <f t="shared" si="477"/>
        <v>3.1037694983085586</v>
      </c>
      <c r="HO88" s="582">
        <f t="shared" si="1182"/>
        <v>46084.543699081551</v>
      </c>
      <c r="HP88" s="571">
        <f t="shared" ref="HP88" si="1184">SUM(HP66:HP78)</f>
        <v>142605.10547554289</v>
      </c>
      <c r="HQ88" s="782">
        <f t="shared" si="479"/>
        <v>3.0944237271114603</v>
      </c>
      <c r="HR88" s="571">
        <f>SUM(HR66:HR78)</f>
        <v>46214.094897093739</v>
      </c>
      <c r="HS88" s="571">
        <f>SUM(HS66:HS78)</f>
        <v>141251.55029405068</v>
      </c>
      <c r="HT88" s="783">
        <f t="shared" si="480"/>
        <v>3.0564603852694638</v>
      </c>
      <c r="HV88" s="166" t="s">
        <v>607</v>
      </c>
      <c r="HW88" s="582">
        <f>SUM(HW66:HW78)</f>
        <v>8911.6254930000014</v>
      </c>
      <c r="HX88" s="571">
        <f>SUM(HX66:HX78)</f>
        <v>44283.760735999989</v>
      </c>
      <c r="HY88" s="789">
        <f t="shared" si="481"/>
        <v>4.9692124933643669</v>
      </c>
      <c r="HZ88" s="571">
        <f>SUM(HZ66:HZ78)</f>
        <v>37452.902240999996</v>
      </c>
      <c r="IA88" s="571">
        <f>SUM(IA66:IA78)</f>
        <v>100289.61494499999</v>
      </c>
      <c r="IB88" s="789">
        <f t="shared" si="482"/>
        <v>2.6777528293978814</v>
      </c>
      <c r="IC88" s="582">
        <f>SUM(IC66:IC78)</f>
        <v>8679.2932530200032</v>
      </c>
      <c r="ID88" s="571">
        <f>SUM(ID66:ID78)</f>
        <v>42705.750487368343</v>
      </c>
      <c r="IE88" s="789">
        <f t="shared" si="483"/>
        <v>4.9204179698051638</v>
      </c>
      <c r="IF88" s="571">
        <f>SUM(IF66:IF78)</f>
        <v>36981.906012057603</v>
      </c>
      <c r="IG88" s="571">
        <f>SUM(IG66:IG78)</f>
        <v>99159.299786023461</v>
      </c>
      <c r="IH88" s="782">
        <f t="shared" si="126"/>
        <v>2.681292298825634</v>
      </c>
      <c r="II88" s="582">
        <f>SUM(II66:II78)</f>
        <v>8305.0041036430557</v>
      </c>
      <c r="IJ88" s="571">
        <f>SUM(IJ66:IJ78)</f>
        <v>41535.25091118164</v>
      </c>
      <c r="IK88" s="789">
        <f t="shared" si="484"/>
        <v>5.0012318347876397</v>
      </c>
      <c r="IL88" s="571">
        <f>SUM(IL66:IL78)</f>
        <v>37503.955245878962</v>
      </c>
      <c r="IM88" s="571">
        <f>SUM(IM66:IM78)</f>
        <v>99099.298580396586</v>
      </c>
      <c r="IN88" s="782">
        <f t="shared" si="485"/>
        <v>2.6423692629402304</v>
      </c>
      <c r="IP88" s="166" t="s">
        <v>607</v>
      </c>
      <c r="IQ88" s="582">
        <f>SUM(IQ66:IQ78)</f>
        <v>8603.1610440000004</v>
      </c>
      <c r="IR88" s="571">
        <f t="shared" ref="IR88:JH88" si="1185">SUM(IR66:IR78)</f>
        <v>10250.319146000002</v>
      </c>
      <c r="IS88" s="571">
        <f t="shared" si="1185"/>
        <v>11105.55106</v>
      </c>
      <c r="IT88" s="571">
        <f t="shared" si="1185"/>
        <v>8673.1279410000006</v>
      </c>
      <c r="IU88" s="571">
        <f t="shared" si="1185"/>
        <v>8236.9648470000011</v>
      </c>
      <c r="IV88" s="571">
        <f t="shared" si="1185"/>
        <v>145470.95761399996</v>
      </c>
      <c r="IW88" s="582">
        <f t="shared" si="1185"/>
        <v>8044.3622170457111</v>
      </c>
      <c r="IX88" s="571">
        <f t="shared" si="1185"/>
        <v>10803.369250481423</v>
      </c>
      <c r="IY88" s="571">
        <f t="shared" si="1185"/>
        <v>10814.569052426754</v>
      </c>
      <c r="IZ88" s="571">
        <f t="shared" si="1185"/>
        <v>8443.7637062459471</v>
      </c>
      <c r="JA88" s="571">
        <f t="shared" si="1185"/>
        <v>7978.4794728817069</v>
      </c>
      <c r="JB88" s="571">
        <f t="shared" si="1185"/>
        <v>142605.10547554289</v>
      </c>
      <c r="JC88" s="582">
        <f t="shared" si="1185"/>
        <v>8157.9303726221315</v>
      </c>
      <c r="JD88" s="571">
        <f t="shared" si="1185"/>
        <v>11258.423408412726</v>
      </c>
      <c r="JE88" s="571">
        <f t="shared" si="1185"/>
        <v>11099.50943221866</v>
      </c>
      <c r="JF88" s="571">
        <f t="shared" si="1185"/>
        <v>8007.3015621304903</v>
      </c>
      <c r="JG88" s="571">
        <f t="shared" si="1185"/>
        <v>7690.93012170973</v>
      </c>
      <c r="JH88" s="572">
        <f t="shared" si="1185"/>
        <v>141251.55029405068</v>
      </c>
      <c r="JJ88" s="166" t="s">
        <v>607</v>
      </c>
      <c r="JK88" s="582">
        <f t="shared" ref="JK88:JV88" si="1186">SUM(JK66:JK78)</f>
        <v>14172.644989999999</v>
      </c>
      <c r="JL88" s="571">
        <f t="shared" si="1186"/>
        <v>20254.949378000001</v>
      </c>
      <c r="JM88" s="571">
        <f t="shared" si="1186"/>
        <v>11337.547988</v>
      </c>
      <c r="JN88" s="572">
        <f t="shared" si="1186"/>
        <v>1103.9816860000001</v>
      </c>
      <c r="JO88" s="582">
        <f t="shared" si="1186"/>
        <v>14741.230113563006</v>
      </c>
      <c r="JP88" s="571">
        <f t="shared" si="1186"/>
        <v>19224.052060403439</v>
      </c>
      <c r="JQ88" s="571">
        <f t="shared" si="1186"/>
        <v>11148.423003333986</v>
      </c>
      <c r="JR88" s="572">
        <f t="shared" si="1186"/>
        <v>970.83852178111738</v>
      </c>
      <c r="JS88" s="582">
        <f t="shared" si="1186"/>
        <v>14359.748465123381</v>
      </c>
      <c r="JT88" s="571">
        <f t="shared" si="1186"/>
        <v>20000.193834153608</v>
      </c>
      <c r="JU88" s="571">
        <f t="shared" si="1186"/>
        <v>10995.815263259405</v>
      </c>
      <c r="JV88" s="572">
        <f t="shared" si="1186"/>
        <v>858.33733455733761</v>
      </c>
      <c r="JX88" s="166" t="s">
        <v>607</v>
      </c>
      <c r="JY88" s="583">
        <f t="shared" ref="JY88:KB88" si="1187">SUM(JY66:JY78)</f>
        <v>10883.168547048619</v>
      </c>
      <c r="JZ88" s="561">
        <f t="shared" si="1187"/>
        <v>13387.810429957526</v>
      </c>
      <c r="KA88" s="561">
        <f t="shared" si="1187"/>
        <v>7216.0443740841692</v>
      </c>
      <c r="KB88" s="562">
        <f t="shared" si="1187"/>
        <v>14727.071546003419</v>
      </c>
      <c r="KC88" s="604"/>
      <c r="KD88" s="166" t="s">
        <v>607</v>
      </c>
      <c r="KE88" s="582">
        <f t="shared" ref="KE88:KV88" si="1188">SUM(KE66:KE78)</f>
        <v>2566.0615246345005</v>
      </c>
      <c r="KF88" s="571">
        <f t="shared" si="1188"/>
        <v>2188.8485550890778</v>
      </c>
      <c r="KG88" s="571">
        <f t="shared" si="1188"/>
        <v>13638.800245215938</v>
      </c>
      <c r="KH88" s="571">
        <f t="shared" si="1188"/>
        <v>10910.429342238469</v>
      </c>
      <c r="KI88" s="571">
        <f t="shared" si="1188"/>
        <v>5553.2433651791789</v>
      </c>
      <c r="KJ88" s="572">
        <f t="shared" si="1188"/>
        <v>2434.1788353325896</v>
      </c>
      <c r="KK88" s="582">
        <f t="shared" si="1188"/>
        <v>2499.2687933225343</v>
      </c>
      <c r="KL88" s="571">
        <f t="shared" si="1188"/>
        <v>2779.5526125380156</v>
      </c>
      <c r="KM88" s="571">
        <f t="shared" si="1188"/>
        <v>1846.2614007804273</v>
      </c>
      <c r="KN88" s="571">
        <f t="shared" si="1188"/>
        <v>549.90521156537591</v>
      </c>
      <c r="KO88" s="571">
        <f t="shared" si="1188"/>
        <v>369.71599136852359</v>
      </c>
      <c r="KP88" s="572">
        <f t="shared" si="1188"/>
        <v>237.23083645421559</v>
      </c>
      <c r="KQ88" s="582">
        <f t="shared" si="1188"/>
        <v>5096.5287049300541</v>
      </c>
      <c r="KR88" s="571">
        <f t="shared" si="1188"/>
        <v>4986.8293181724421</v>
      </c>
      <c r="KS88" s="571">
        <f t="shared" si="1188"/>
        <v>15570.453737029282</v>
      </c>
      <c r="KT88" s="571">
        <f t="shared" si="1188"/>
        <v>11581.83493332463</v>
      </c>
      <c r="KU88" s="571">
        <f t="shared" si="1188"/>
        <v>6015.5349538417686</v>
      </c>
      <c r="KV88" s="572">
        <f t="shared" si="1188"/>
        <v>2724.1148046262601</v>
      </c>
      <c r="KW88" s="429"/>
      <c r="KX88" s="166" t="s">
        <v>607</v>
      </c>
      <c r="KY88" s="582">
        <f t="shared" ref="KY88:LA88" si="1189">SUM(KY66:KY78)</f>
        <v>15998.544607000002</v>
      </c>
      <c r="KZ88" s="571">
        <f t="shared" si="1189"/>
        <v>24585.044898999997</v>
      </c>
      <c r="LA88" s="572">
        <f t="shared" si="1189"/>
        <v>6287.5345320000006</v>
      </c>
      <c r="LB88" s="582">
        <f t="shared" ref="LB88:LD88" si="1190">SUM(LB66:LB78)</f>
        <v>16463.506937617523</v>
      </c>
      <c r="LC88" s="571">
        <f t="shared" si="1190"/>
        <v>23606.778372518478</v>
      </c>
      <c r="LD88" s="572">
        <f t="shared" si="1190"/>
        <v>6013.2583897270524</v>
      </c>
      <c r="LE88" s="582">
        <f t="shared" ref="LE88:LG88" si="1191">SUM(LE66:LE78)</f>
        <v>17092.340662625742</v>
      </c>
      <c r="LF88" s="571">
        <f t="shared" si="1191"/>
        <v>23199.142311956166</v>
      </c>
      <c r="LG88" s="572">
        <f t="shared" si="1191"/>
        <v>5925.611925557987</v>
      </c>
      <c r="LH88" s="426"/>
      <c r="LI88" s="166" t="s">
        <v>607</v>
      </c>
      <c r="LJ88" s="582">
        <f t="shared" ref="LJ88:MA88" si="1192">SUM(LJ66:LJ78)</f>
        <v>39342.353280000003</v>
      </c>
      <c r="LK88" s="571">
        <f t="shared" si="1192"/>
        <v>33630.236256999997</v>
      </c>
      <c r="LL88" s="571">
        <f t="shared" si="1192"/>
        <v>5712.1170199999997</v>
      </c>
      <c r="LM88" s="571">
        <f t="shared" si="1192"/>
        <v>12385.440838</v>
      </c>
      <c r="LN88" s="571">
        <f t="shared" si="1192"/>
        <v>3278.442015000001</v>
      </c>
      <c r="LO88" s="572">
        <f t="shared" si="1192"/>
        <v>4000.7594659999995</v>
      </c>
      <c r="LP88" s="582">
        <f t="shared" si="1192"/>
        <v>38440.899116716064</v>
      </c>
      <c r="LQ88" s="571">
        <f t="shared" si="1192"/>
        <v>31465.548597814686</v>
      </c>
      <c r="LR88" s="571">
        <f t="shared" si="1192"/>
        <v>6975.3505189013767</v>
      </c>
      <c r="LS88" s="571">
        <f t="shared" si="1192"/>
        <v>11335.804968819084</v>
      </c>
      <c r="LT88" s="571">
        <f t="shared" si="1192"/>
        <v>2746.3021496876695</v>
      </c>
      <c r="LU88" s="572">
        <f t="shared" si="1192"/>
        <v>4065.1705918929752</v>
      </c>
      <c r="LV88" s="582">
        <f t="shared" si="1192"/>
        <v>37428.443612691357</v>
      </c>
      <c r="LW88" s="571">
        <f t="shared" si="1192"/>
        <v>30954.881324153401</v>
      </c>
      <c r="LX88" s="571">
        <f t="shared" si="1192"/>
        <v>6473.5622885379498</v>
      </c>
      <c r="LY88" s="571">
        <f t="shared" si="1192"/>
        <v>11331.139067177899</v>
      </c>
      <c r="LZ88" s="571">
        <f t="shared" si="1192"/>
        <v>1926.7130899710571</v>
      </c>
      <c r="MA88" s="572">
        <f t="shared" si="1192"/>
        <v>4082.087154248803</v>
      </c>
      <c r="MC88" s="166" t="s">
        <v>607</v>
      </c>
      <c r="MD88" s="582">
        <f t="shared" ref="MD88:MU88" si="1193">SUM(MD66:MD78)</f>
        <v>25.839888999999999</v>
      </c>
      <c r="ME88" s="571">
        <f t="shared" si="1193"/>
        <v>1427.9345599999999</v>
      </c>
      <c r="MF88" s="571">
        <f t="shared" si="1193"/>
        <v>7751.6374619999997</v>
      </c>
      <c r="MG88" s="571">
        <f t="shared" si="1193"/>
        <v>9699.5047539999996</v>
      </c>
      <c r="MH88" s="571">
        <f t="shared" si="1193"/>
        <v>9482.1619960000007</v>
      </c>
      <c r="MI88" s="572">
        <f t="shared" si="1193"/>
        <v>5258.1575739999998</v>
      </c>
      <c r="MJ88" s="583">
        <f t="shared" si="1193"/>
        <v>8.7349476690895607</v>
      </c>
      <c r="MK88" s="561">
        <f t="shared" si="1193"/>
        <v>1509.6766540111423</v>
      </c>
      <c r="ML88" s="561">
        <f t="shared" si="1193"/>
        <v>8681.3648539789501</v>
      </c>
      <c r="MM88" s="561">
        <f t="shared" si="1193"/>
        <v>8644.106605550176</v>
      </c>
      <c r="MN88" s="561">
        <f t="shared" si="1193"/>
        <v>8281.9374201426581</v>
      </c>
      <c r="MO88" s="562">
        <f t="shared" si="1193"/>
        <v>4350.7281078660244</v>
      </c>
      <c r="MP88" s="583">
        <f t="shared" si="1193"/>
        <v>12.541519346780559</v>
      </c>
      <c r="MQ88" s="561">
        <f t="shared" si="1193"/>
        <v>1421.9475104693133</v>
      </c>
      <c r="MR88" s="561">
        <f t="shared" si="1193"/>
        <v>9011.9793419606813</v>
      </c>
      <c r="MS88" s="561">
        <f t="shared" si="1193"/>
        <v>8724.3590072647858</v>
      </c>
      <c r="MT88" s="561">
        <f t="shared" si="1193"/>
        <v>7789.9984540012674</v>
      </c>
      <c r="MU88" s="562">
        <f t="shared" si="1193"/>
        <v>3991.0554880644077</v>
      </c>
      <c r="MW88" s="166" t="s">
        <v>607</v>
      </c>
      <c r="MX88" s="582">
        <f t="shared" ref="MX88:NF88" si="1194">SUM(MX66:MX78)</f>
        <v>33962.475531000004</v>
      </c>
      <c r="MY88" s="571">
        <f t="shared" si="1194"/>
        <v>30585.982354000003</v>
      </c>
      <c r="MZ88" s="571">
        <f t="shared" si="1194"/>
        <v>3376.4931710000001</v>
      </c>
      <c r="NA88" s="582">
        <f t="shared" si="1194"/>
        <v>31821.505838083853</v>
      </c>
      <c r="NB88" s="571">
        <f t="shared" si="1194"/>
        <v>28043.649422097566</v>
      </c>
      <c r="NC88" s="572">
        <f t="shared" si="1194"/>
        <v>3777.8564159862881</v>
      </c>
      <c r="ND88" s="582">
        <f t="shared" si="1194"/>
        <v>31487.907564912872</v>
      </c>
      <c r="NE88" s="571">
        <f t="shared" si="1194"/>
        <v>27419.45006362471</v>
      </c>
      <c r="NF88" s="572">
        <f t="shared" si="1194"/>
        <v>4068.4575012881596</v>
      </c>
      <c r="NH88" s="166" t="s">
        <v>607</v>
      </c>
      <c r="NI88" s="582">
        <f t="shared" ref="NI88:NR88" si="1195">SUM(NI66:NI78)</f>
        <v>21151.332422310556</v>
      </c>
      <c r="NJ88" s="572">
        <f t="shared" si="1195"/>
        <v>6892.3169997870045</v>
      </c>
      <c r="NK88" s="582">
        <f t="shared" si="1195"/>
        <v>2186.5240184987961</v>
      </c>
      <c r="NL88" s="571">
        <f t="shared" si="1195"/>
        <v>1535.0650787486657</v>
      </c>
      <c r="NM88" s="572">
        <f t="shared" si="1195"/>
        <v>56.26731873882553</v>
      </c>
      <c r="NN88" s="582">
        <f t="shared" si="1195"/>
        <v>20232.738331755463</v>
      </c>
      <c r="NO88" s="572">
        <f t="shared" si="1195"/>
        <v>7186.7117318692399</v>
      </c>
      <c r="NP88" s="582">
        <f t="shared" si="1195"/>
        <v>2705.5514544160833</v>
      </c>
      <c r="NQ88" s="571">
        <f t="shared" si="1195"/>
        <v>1329.0463842928175</v>
      </c>
      <c r="NR88" s="572">
        <f t="shared" si="1195"/>
        <v>33.859662579258654</v>
      </c>
      <c r="NS88" s="136"/>
      <c r="NT88" s="166" t="s">
        <v>607</v>
      </c>
      <c r="NU88" s="582">
        <f t="shared" ref="NU88:OB88" si="1196">SUM(NU66:NU78)</f>
        <v>4195.9735606978948</v>
      </c>
      <c r="NV88" s="571">
        <f t="shared" si="1196"/>
        <v>697.74500690189541</v>
      </c>
      <c r="NW88" s="571">
        <f t="shared" si="1196"/>
        <v>291.44656664920018</v>
      </c>
      <c r="NX88" s="572">
        <f t="shared" si="1196"/>
        <v>1707.1518655380148</v>
      </c>
      <c r="NY88" s="582">
        <f t="shared" si="1196"/>
        <v>4330.7704077060025</v>
      </c>
      <c r="NZ88" s="571">
        <f t="shared" si="1196"/>
        <v>746.38285647672672</v>
      </c>
      <c r="OA88" s="571">
        <f t="shared" si="1196"/>
        <v>213.37016328314368</v>
      </c>
      <c r="OB88" s="572">
        <f t="shared" si="1196"/>
        <v>1896.1883044033668</v>
      </c>
      <c r="OC88" s="553"/>
      <c r="OD88" s="166" t="s">
        <v>607</v>
      </c>
      <c r="OE88" s="582">
        <f t="shared" ref="OE88:OR88" si="1197">SUM(OE66:OE78)</f>
        <v>2259.4965136442502</v>
      </c>
      <c r="OF88" s="571">
        <f t="shared" si="1197"/>
        <v>3795.6667423152803</v>
      </c>
      <c r="OG88" s="571">
        <f t="shared" si="1197"/>
        <v>2918.8352318815892</v>
      </c>
      <c r="OH88" s="571">
        <f t="shared" si="1197"/>
        <v>2353.3246652926132</v>
      </c>
      <c r="OI88" s="571">
        <f t="shared" si="1197"/>
        <v>11888.786197889607</v>
      </c>
      <c r="OJ88" s="571">
        <f t="shared" si="1197"/>
        <v>1525.7467195070542</v>
      </c>
      <c r="OK88" s="572">
        <f t="shared" si="1197"/>
        <v>928.14892174990814</v>
      </c>
      <c r="OL88" s="582">
        <f t="shared" si="1197"/>
        <v>3063.6256631419387</v>
      </c>
      <c r="OM88" s="571">
        <f t="shared" si="1197"/>
        <v>3909.1843555423029</v>
      </c>
      <c r="ON88" s="571">
        <f t="shared" si="1197"/>
        <v>3000.1902683890416</v>
      </c>
      <c r="OO88" s="571">
        <f t="shared" si="1197"/>
        <v>2431.1779847452026</v>
      </c>
      <c r="OP88" s="571">
        <f t="shared" si="1197"/>
        <v>15477.797326976028</v>
      </c>
      <c r="OQ88" s="571">
        <f t="shared" si="1197"/>
        <v>6905.7005473164227</v>
      </c>
      <c r="OR88" s="572">
        <f t="shared" si="1197"/>
        <v>44393.251299202515</v>
      </c>
      <c r="OT88" s="166" t="s">
        <v>607</v>
      </c>
      <c r="OU88" s="583">
        <f t="shared" ref="OU88:PF88" si="1198">SUM(OU66:OU78)</f>
        <v>16562.927921999999</v>
      </c>
      <c r="OV88" s="561">
        <f t="shared" si="1198"/>
        <v>10167.103099999998</v>
      </c>
      <c r="OW88" s="561">
        <f t="shared" si="1198"/>
        <v>9084.5797509999993</v>
      </c>
      <c r="OX88" s="562">
        <f t="shared" si="1198"/>
        <v>19495.9012</v>
      </c>
      <c r="OY88" s="583">
        <f t="shared" si="1198"/>
        <v>14184.864723101062</v>
      </c>
      <c r="OZ88" s="561">
        <f t="shared" si="1198"/>
        <v>9048.5877444933885</v>
      </c>
      <c r="PA88" s="561">
        <f t="shared" si="1198"/>
        <v>9015.2731007412312</v>
      </c>
      <c r="PB88" s="562">
        <f t="shared" si="1198"/>
        <v>21872.471324521517</v>
      </c>
      <c r="PC88" s="583">
        <f t="shared" si="1198"/>
        <v>10878.788806831664</v>
      </c>
      <c r="PD88" s="561">
        <f t="shared" si="1198"/>
        <v>8960.4869786561867</v>
      </c>
      <c r="PE88" s="561">
        <f t="shared" si="1198"/>
        <v>8610.2082405644396</v>
      </c>
      <c r="PF88" s="562">
        <f t="shared" si="1198"/>
        <v>24062.436627748695</v>
      </c>
      <c r="PH88" s="166" t="s">
        <v>607</v>
      </c>
      <c r="PI88" s="582">
        <f t="shared" ref="PI88:PP88" si="1199">SUM(PI66:PI78)</f>
        <v>4229.7371610685686</v>
      </c>
      <c r="PJ88" s="571">
        <f t="shared" si="1199"/>
        <v>4758.4173091885123</v>
      </c>
      <c r="PK88" s="571">
        <f t="shared" si="1199"/>
        <v>3990.3052729249075</v>
      </c>
      <c r="PL88" s="572">
        <f t="shared" si="1199"/>
        <v>11168.085045388698</v>
      </c>
      <c r="PM88" s="582">
        <f t="shared" si="1199"/>
        <v>6649.0516457630956</v>
      </c>
      <c r="PN88" s="571">
        <f t="shared" si="1199"/>
        <v>4202.0696694676753</v>
      </c>
      <c r="PO88" s="571">
        <f t="shared" si="1199"/>
        <v>4619.9029676395312</v>
      </c>
      <c r="PP88" s="572">
        <f t="shared" si="1199"/>
        <v>12894.351582359994</v>
      </c>
      <c r="PQ88" s="65"/>
      <c r="PR88" s="168" t="s">
        <v>607</v>
      </c>
      <c r="PS88" s="1035">
        <f t="shared" ref="PS88:PW88" si="1200">SUM(PS66:PS78)</f>
        <v>1034.2492438959105</v>
      </c>
      <c r="PT88" s="1036">
        <f t="shared" si="1200"/>
        <v>5510.7860790610112</v>
      </c>
      <c r="PU88" s="1036">
        <f t="shared" si="1200"/>
        <v>3052.8804307011105</v>
      </c>
      <c r="PV88" s="1036">
        <f t="shared" si="1200"/>
        <v>413.26312124108017</v>
      </c>
      <c r="PW88" s="1036">
        <f t="shared" si="1200"/>
        <v>14188.478637256454</v>
      </c>
      <c r="PX88" s="1037">
        <f t="shared" ref="PX88" si="1201">SUM(PX66:PX78)</f>
        <v>7283.2500476803725</v>
      </c>
      <c r="PZ88" s="168" t="s">
        <v>607</v>
      </c>
      <c r="QA88" s="1035">
        <f t="shared" ref="QA88:QF88" si="1202">SUM(QA66:QA78)</f>
        <v>20497.939297929348</v>
      </c>
      <c r="QB88" s="1036">
        <f t="shared" si="1202"/>
        <v>10989.968266983506</v>
      </c>
      <c r="QC88" s="1036">
        <f t="shared" si="1202"/>
        <v>7920.9433664421294</v>
      </c>
      <c r="QD88" s="1036">
        <f t="shared" ref="QD88" si="1203">SUM(QD66:QD78)</f>
        <v>1114.1151172245386</v>
      </c>
      <c r="QE88" s="1036">
        <f t="shared" si="1202"/>
        <v>1900.9874588060654</v>
      </c>
      <c r="QF88" s="1037">
        <f t="shared" si="1202"/>
        <v>53.922324510773528</v>
      </c>
    </row>
    <row r="89" spans="1:448" ht="13.5" customHeight="1">
      <c r="A89" s="136"/>
      <c r="B89" s="559" t="s">
        <v>609</v>
      </c>
      <c r="C89" s="573">
        <f t="shared" ref="C89" si="1204">SUM(C79:C83)</f>
        <v>36397.089605000001</v>
      </c>
      <c r="D89" s="573">
        <f t="shared" ref="D89:E89" si="1205">SUM(D79:D83)</f>
        <v>38164.420002081337</v>
      </c>
      <c r="E89" s="562">
        <f t="shared" si="1205"/>
        <v>41935.565434250013</v>
      </c>
      <c r="F89" s="136"/>
      <c r="G89" s="559" t="s">
        <v>609</v>
      </c>
      <c r="H89" s="135">
        <f t="shared" si="447"/>
        <v>9.5280763270284563E-3</v>
      </c>
      <c r="I89" s="668">
        <f t="shared" si="448"/>
        <v>1.9024832254652013E-2</v>
      </c>
      <c r="J89" s="612"/>
      <c r="K89" s="63"/>
      <c r="L89" s="559" t="s">
        <v>609</v>
      </c>
      <c r="M89" s="573">
        <f t="shared" ref="M89:T89" si="1206">SUM(M79:M83)</f>
        <v>408</v>
      </c>
      <c r="N89" s="573">
        <f t="shared" si="1206"/>
        <v>433</v>
      </c>
      <c r="O89" s="573">
        <f t="shared" si="1206"/>
        <v>424</v>
      </c>
      <c r="P89" s="573">
        <f t="shared" si="1206"/>
        <v>459</v>
      </c>
      <c r="Q89" s="573">
        <f t="shared" si="1206"/>
        <v>431</v>
      </c>
      <c r="R89" s="573">
        <f t="shared" si="1206"/>
        <v>456</v>
      </c>
      <c r="S89" s="573">
        <f t="shared" si="1206"/>
        <v>477</v>
      </c>
      <c r="T89" s="573">
        <f t="shared" si="1206"/>
        <v>429</v>
      </c>
      <c r="U89" s="561">
        <f t="shared" ref="U89:V89" si="1207">SUM(U79:U83)</f>
        <v>444</v>
      </c>
      <c r="V89" s="561">
        <f t="shared" si="1207"/>
        <v>389</v>
      </c>
      <c r="W89" s="562">
        <f t="shared" ref="W89" si="1208">SUM(W79:W83)</f>
        <v>438</v>
      </c>
      <c r="X89" s="559" t="s">
        <v>609</v>
      </c>
      <c r="Y89" s="661">
        <f>SUM(Y43:Y59)</f>
        <v>420.5</v>
      </c>
      <c r="Z89" s="661">
        <f t="shared" ref="Z89:AB89" si="1209">SUM(Z43:Z59)</f>
        <v>441.5</v>
      </c>
      <c r="AA89" s="661">
        <f t="shared" si="1209"/>
        <v>443.5</v>
      </c>
      <c r="AB89" s="661">
        <f t="shared" si="1209"/>
        <v>453</v>
      </c>
      <c r="AC89" s="1206">
        <f t="shared" ref="AC89" si="1210">SUM(AC43:AC59)</f>
        <v>453</v>
      </c>
      <c r="AD89" s="336">
        <f t="shared" si="98"/>
        <v>4.9940546967895363E-2</v>
      </c>
      <c r="AE89" s="336">
        <f t="shared" si="99"/>
        <v>4.5300113250283129E-3</v>
      </c>
      <c r="AF89" s="336">
        <f t="shared" si="100"/>
        <v>2.1420518602029311E-2</v>
      </c>
      <c r="AG89" s="1217">
        <f t="shared" si="101"/>
        <v>0</v>
      </c>
      <c r="AN89" s="559" t="s">
        <v>609</v>
      </c>
      <c r="AO89" s="573">
        <f t="shared" ref="AO89:AV89" si="1211">SUM(AO79:AO83)</f>
        <v>13.935679</v>
      </c>
      <c r="AP89" s="573">
        <f t="shared" si="1211"/>
        <v>621.20895900000005</v>
      </c>
      <c r="AQ89" s="573">
        <f t="shared" si="1211"/>
        <v>2306.7391990000001</v>
      </c>
      <c r="AR89" s="573">
        <f t="shared" si="1211"/>
        <v>4598.3993660000006</v>
      </c>
      <c r="AS89" s="573">
        <f t="shared" si="1211"/>
        <v>5661.3831220000002</v>
      </c>
      <c r="AT89" s="573">
        <f t="shared" si="1211"/>
        <v>4273.4547869999997</v>
      </c>
      <c r="AU89" s="573">
        <f t="shared" si="1211"/>
        <v>8667.7955699999984</v>
      </c>
      <c r="AV89" s="573">
        <f t="shared" si="1211"/>
        <v>5045.632106</v>
      </c>
      <c r="AW89" s="584">
        <f t="shared" ref="AW89:BD89" si="1212">SUM(AW79:AW83)</f>
        <v>2.1572789556677598</v>
      </c>
      <c r="AX89" s="573">
        <f t="shared" si="1212"/>
        <v>634.17108924588695</v>
      </c>
      <c r="AY89" s="573">
        <f t="shared" si="1212"/>
        <v>2545.8076960815124</v>
      </c>
      <c r="AZ89" s="573">
        <f t="shared" si="1212"/>
        <v>4771.7127185246864</v>
      </c>
      <c r="BA89" s="573">
        <f t="shared" si="1212"/>
        <v>5906.2407258222902</v>
      </c>
      <c r="BB89" s="573">
        <f t="shared" si="1212"/>
        <v>4369.572008743171</v>
      </c>
      <c r="BC89" s="573">
        <f t="shared" si="1212"/>
        <v>9194.4448754608056</v>
      </c>
      <c r="BD89" s="573">
        <f t="shared" si="1212"/>
        <v>5188.5700528193192</v>
      </c>
      <c r="BE89" s="584">
        <f t="shared" ref="BE89:BL89" si="1213">SUM(BE79:BE83)</f>
        <v>5.2864939410043501</v>
      </c>
      <c r="BF89" s="573">
        <f t="shared" si="1213"/>
        <v>809.74801131825552</v>
      </c>
      <c r="BG89" s="573">
        <f t="shared" si="1213"/>
        <v>3009.006059216134</v>
      </c>
      <c r="BH89" s="573">
        <f t="shared" si="1213"/>
        <v>5780.2786263068128</v>
      </c>
      <c r="BI89" s="573">
        <f t="shared" si="1213"/>
        <v>6863.9906002163843</v>
      </c>
      <c r="BJ89" s="573">
        <f t="shared" si="1213"/>
        <v>4056.3290551151113</v>
      </c>
      <c r="BK89" s="573">
        <f t="shared" si="1213"/>
        <v>9700.553943328372</v>
      </c>
      <c r="BL89" s="585">
        <f t="shared" si="1213"/>
        <v>5634.8730072499138</v>
      </c>
      <c r="BN89" s="559" t="s">
        <v>609</v>
      </c>
      <c r="BO89" s="584">
        <f t="shared" ref="BO89:BT89" si="1214">SUM(BO79:BO83)</f>
        <v>5243.5407729999997</v>
      </c>
      <c r="BP89" s="573">
        <f t="shared" si="1214"/>
        <v>8640.4631910000007</v>
      </c>
      <c r="BQ89" s="573">
        <f t="shared" si="1214"/>
        <v>7010.1736100000007</v>
      </c>
      <c r="BR89" s="573">
        <f t="shared" si="1214"/>
        <v>6431.1211360000007</v>
      </c>
      <c r="BS89" s="573">
        <f t="shared" si="1214"/>
        <v>5140.4687020000001</v>
      </c>
      <c r="BT89" s="585">
        <f t="shared" si="1214"/>
        <v>3931.322193</v>
      </c>
      <c r="BU89" s="584">
        <f t="shared" ref="BU89:BZ89" si="1215">SUM(BU79:BU83)</f>
        <v>5562.74354783136</v>
      </c>
      <c r="BV89" s="573">
        <f t="shared" si="1215"/>
        <v>8895.7159912117604</v>
      </c>
      <c r="BW89" s="573">
        <f t="shared" si="1215"/>
        <v>6716.5991890457308</v>
      </c>
      <c r="BX89" s="573">
        <f t="shared" si="1215"/>
        <v>6753.9041974914389</v>
      </c>
      <c r="BY89" s="573">
        <f t="shared" si="1215"/>
        <v>5361.4382220401976</v>
      </c>
      <c r="BZ89" s="585">
        <f t="shared" si="1215"/>
        <v>4874.0188544608554</v>
      </c>
      <c r="CA89" s="584">
        <f t="shared" ref="CA89:CF89" si="1216">SUM(CA79:CA83)</f>
        <v>6085.4996477118711</v>
      </c>
      <c r="CB89" s="573">
        <f t="shared" si="1216"/>
        <v>10022.246055597332</v>
      </c>
      <c r="CC89" s="573">
        <f t="shared" si="1216"/>
        <v>7766.9778899444027</v>
      </c>
      <c r="CD89" s="573">
        <f t="shared" si="1216"/>
        <v>7060.7760107231525</v>
      </c>
      <c r="CE89" s="573">
        <f t="shared" si="1216"/>
        <v>5873.3783932934894</v>
      </c>
      <c r="CF89" s="585">
        <f t="shared" si="1216"/>
        <v>5126.6874369797706</v>
      </c>
      <c r="CG89" s="429"/>
      <c r="CH89" s="559" t="s">
        <v>609</v>
      </c>
      <c r="CI89" s="584">
        <f t="shared" ref="CI89:CK89" si="1217">SUM(CI79:CI83)</f>
        <v>7926.6186149999994</v>
      </c>
      <c r="CJ89" s="573">
        <f t="shared" si="1217"/>
        <v>21321.724154999996</v>
      </c>
      <c r="CK89" s="573">
        <f t="shared" si="1217"/>
        <v>7148.7468360000003</v>
      </c>
      <c r="CL89" s="584">
        <f t="shared" ref="CL89:CN89" si="1218">SUM(CL79:CL83)</f>
        <v>8251.8923164060125</v>
      </c>
      <c r="CM89" s="573">
        <f t="shared" si="1218"/>
        <v>21688.997991417113</v>
      </c>
      <c r="CN89" s="573">
        <f t="shared" si="1218"/>
        <v>8223.5296942582172</v>
      </c>
      <c r="CO89" s="584">
        <f t="shared" ref="CO89:CQ89" si="1219">SUM(CO79:CO83)</f>
        <v>9028.3437783590689</v>
      </c>
      <c r="CP89" s="573">
        <f t="shared" si="1219"/>
        <v>23972.241846134053</v>
      </c>
      <c r="CQ89" s="585">
        <f t="shared" si="1219"/>
        <v>8934.9798097568673</v>
      </c>
      <c r="CR89" s="429"/>
      <c r="CS89" s="426"/>
      <c r="CT89" s="426"/>
      <c r="CU89" s="426"/>
      <c r="CV89" s="426"/>
      <c r="CW89" s="426"/>
      <c r="CX89" s="426"/>
      <c r="CY89" s="426"/>
      <c r="CZ89" s="426"/>
      <c r="DA89" s="426"/>
      <c r="DG89" s="559" t="s">
        <v>609</v>
      </c>
      <c r="DH89" s="829"/>
      <c r="DI89" s="830"/>
      <c r="DJ89" s="830"/>
      <c r="DK89" s="830"/>
      <c r="DL89" s="830"/>
      <c r="DM89" s="831"/>
      <c r="DO89" s="559" t="s">
        <v>609</v>
      </c>
      <c r="DP89" s="704">
        <f t="shared" ref="DP89:DR89" si="1220">SUM(DP79:DP83)</f>
        <v>17573.211284000001</v>
      </c>
      <c r="DQ89" s="573">
        <f t="shared" si="1220"/>
        <v>18750.280281662835</v>
      </c>
      <c r="DR89" s="585">
        <f t="shared" si="1220"/>
        <v>21586.659991269309</v>
      </c>
      <c r="DS89" s="63"/>
      <c r="DT89" s="559" t="s">
        <v>609</v>
      </c>
      <c r="DU89" s="584">
        <f t="shared" ref="DU89:DW89" si="1221">SUM(DU79:DU83)</f>
        <v>34535.091876999999</v>
      </c>
      <c r="DV89" s="573">
        <f t="shared" si="1221"/>
        <v>36276.421477577373</v>
      </c>
      <c r="DW89" s="585">
        <f t="shared" si="1221"/>
        <v>40100.563571018509</v>
      </c>
      <c r="DX89" s="63"/>
      <c r="DY89" s="559" t="s">
        <v>609</v>
      </c>
      <c r="DZ89" s="1094">
        <f t="shared" si="410"/>
        <v>1.9652123518507625</v>
      </c>
      <c r="EA89" s="791">
        <f t="shared" si="411"/>
        <v>1.9347135580183585</v>
      </c>
      <c r="EB89" s="780">
        <f t="shared" si="412"/>
        <v>1.8576548473565211</v>
      </c>
      <c r="ED89" s="541"/>
      <c r="EE89" s="559" t="s">
        <v>609</v>
      </c>
      <c r="EF89" s="584">
        <f t="shared" ref="EF89:EJ89" si="1222">SUM(EF79:EF83)</f>
        <v>7605.9009299999998</v>
      </c>
      <c r="EG89" s="573">
        <f t="shared" si="1222"/>
        <v>384.87638900000002</v>
      </c>
      <c r="EH89" s="573">
        <f t="shared" si="1222"/>
        <v>4709.7447940000002</v>
      </c>
      <c r="EI89" s="573">
        <f t="shared" si="1222"/>
        <v>3239.4870989999999</v>
      </c>
      <c r="EJ89" s="585">
        <f t="shared" si="1222"/>
        <v>1633.2020689999999</v>
      </c>
      <c r="EK89" s="584">
        <f t="shared" ref="EK89:EO89" si="1223">SUM(EK79:EK83)</f>
        <v>8563.9816537540701</v>
      </c>
      <c r="EL89" s="573">
        <f t="shared" si="1223"/>
        <v>404.69198244219723</v>
      </c>
      <c r="EM89" s="573">
        <f t="shared" si="1223"/>
        <v>4692.3972523017164</v>
      </c>
      <c r="EN89" s="573">
        <f t="shared" si="1223"/>
        <v>3364.5484017837857</v>
      </c>
      <c r="EO89" s="585">
        <f t="shared" si="1223"/>
        <v>1724.6609913810626</v>
      </c>
      <c r="EP89" s="584">
        <f t="shared" ref="EP89:ET89" si="1224">SUM(EP79:EP83)</f>
        <v>10758.311779207806</v>
      </c>
      <c r="EQ89" s="573">
        <f t="shared" si="1224"/>
        <v>378.86948792800109</v>
      </c>
      <c r="ER89" s="573">
        <f t="shared" si="1224"/>
        <v>4881.1009340023111</v>
      </c>
      <c r="ES89" s="573">
        <f t="shared" si="1224"/>
        <v>3481.8565094720975</v>
      </c>
      <c r="ET89" s="585">
        <f t="shared" si="1224"/>
        <v>2086.5212806590894</v>
      </c>
      <c r="EV89" s="559" t="s">
        <v>609</v>
      </c>
      <c r="EW89" s="584">
        <f t="shared" ref="EW89:FD89" si="1225">SUM(EW79:EW83)</f>
        <v>1067.051567</v>
      </c>
      <c r="EX89" s="573">
        <f t="shared" si="1225"/>
        <v>3145.1006589999997</v>
      </c>
      <c r="EY89" s="573">
        <f t="shared" si="1225"/>
        <v>2404.2956910000003</v>
      </c>
      <c r="EZ89" s="573">
        <f t="shared" si="1225"/>
        <v>988.45301599999993</v>
      </c>
      <c r="FA89" s="584">
        <f t="shared" si="1225"/>
        <v>5062.6595539999998</v>
      </c>
      <c r="FB89" s="573">
        <f t="shared" si="1225"/>
        <v>13860.287369000001</v>
      </c>
      <c r="FC89" s="573">
        <f t="shared" si="1225"/>
        <v>8536.489712999999</v>
      </c>
      <c r="FD89" s="573">
        <f t="shared" si="1225"/>
        <v>1863.1144299999999</v>
      </c>
      <c r="FE89" s="583">
        <f t="shared" ref="FE89:FL89" si="1226">SUM(FE79:FE83)</f>
        <v>1186.8134443661875</v>
      </c>
      <c r="FF89" s="561">
        <f t="shared" si="1226"/>
        <v>3250.4341976180344</v>
      </c>
      <c r="FG89" s="561">
        <f t="shared" si="1226"/>
        <v>2645.7683534764737</v>
      </c>
      <c r="FH89" s="562">
        <f t="shared" si="1226"/>
        <v>1479.9656590748875</v>
      </c>
      <c r="FI89" s="583">
        <f t="shared" si="1226"/>
        <v>5275.5284234576757</v>
      </c>
      <c r="FJ89" s="561">
        <f t="shared" si="1226"/>
        <v>13915.188442469909</v>
      </c>
      <c r="FK89" s="561">
        <f t="shared" si="1226"/>
        <v>8890.2641056835928</v>
      </c>
      <c r="FL89" s="562">
        <f t="shared" si="1226"/>
        <v>2663.696933907946</v>
      </c>
      <c r="FM89" s="703">
        <f t="shared" ref="FM89:FT89" si="1227">SUM(FM79:FM83)</f>
        <v>1538.7954231881704</v>
      </c>
      <c r="FN89" s="704">
        <f t="shared" si="1227"/>
        <v>4217.3782123475858</v>
      </c>
      <c r="FO89" s="704">
        <f t="shared" si="1227"/>
        <v>3466.2308365141898</v>
      </c>
      <c r="FP89" s="173">
        <f t="shared" si="1227"/>
        <v>1534.9073061424756</v>
      </c>
      <c r="FQ89" s="703">
        <f t="shared" si="1227"/>
        <v>5934.6011298379908</v>
      </c>
      <c r="FR89" s="704">
        <f t="shared" si="1227"/>
        <v>15766.251892035147</v>
      </c>
      <c r="FS89" s="704">
        <f t="shared" si="1227"/>
        <v>9483.0263105209233</v>
      </c>
      <c r="FT89" s="173">
        <f t="shared" si="1227"/>
        <v>2864.1846244202702</v>
      </c>
      <c r="FV89" s="559" t="s">
        <v>609</v>
      </c>
      <c r="FW89" s="584">
        <f t="shared" ref="FW89:GH89" si="1228">SUM(FW79:FW83)</f>
        <v>5141.9299920000003</v>
      </c>
      <c r="FX89" s="573">
        <f t="shared" si="1228"/>
        <v>2169.0917039999999</v>
      </c>
      <c r="FY89" s="573">
        <f t="shared" si="1228"/>
        <v>1624.672742</v>
      </c>
      <c r="FZ89" s="585">
        <f t="shared" si="1228"/>
        <v>668.542011</v>
      </c>
      <c r="GA89" s="584">
        <f t="shared" si="1228"/>
        <v>5095.2241884737005</v>
      </c>
      <c r="GB89" s="573">
        <f t="shared" si="1228"/>
        <v>2248.8235926074426</v>
      </c>
      <c r="GC89" s="573">
        <f t="shared" si="1228"/>
        <v>1719.8337713920314</v>
      </c>
      <c r="GD89" s="585">
        <f t="shared" si="1228"/>
        <v>745.32736583791268</v>
      </c>
      <c r="GE89" s="584">
        <f t="shared" si="1228"/>
        <v>5420.1854317356983</v>
      </c>
      <c r="GF89" s="573">
        <f t="shared" si="1228"/>
        <v>2472.6335019558219</v>
      </c>
      <c r="GG89" s="573">
        <f t="shared" si="1228"/>
        <v>1822.7433983796504</v>
      </c>
      <c r="GH89" s="585">
        <f t="shared" si="1228"/>
        <v>762.59573488486649</v>
      </c>
      <c r="GJ89" s="559" t="s">
        <v>609</v>
      </c>
      <c r="GK89" s="573">
        <f t="shared" ref="GK89:GM89" si="1229">SUM(GK79:GK83)</f>
        <v>18696.478561</v>
      </c>
      <c r="GL89" s="573">
        <f t="shared" si="1229"/>
        <v>20561.985350313356</v>
      </c>
      <c r="GM89" s="585">
        <f t="shared" si="1229"/>
        <v>24059.998027963917</v>
      </c>
      <c r="GO89" s="559" t="s">
        <v>609</v>
      </c>
      <c r="GP89" s="584">
        <f t="shared" ref="GP89:GX89" si="1230">SUM(GP79:GP83)</f>
        <v>17572.211286000002</v>
      </c>
      <c r="GQ89" s="573">
        <f t="shared" si="1230"/>
        <v>184.204587</v>
      </c>
      <c r="GR89" s="585">
        <f t="shared" si="1230"/>
        <v>940.0626870000001</v>
      </c>
      <c r="GS89" s="584">
        <f t="shared" si="1230"/>
        <v>18745.280285570396</v>
      </c>
      <c r="GT89" s="573">
        <f t="shared" si="1230"/>
        <v>229.40938716392992</v>
      </c>
      <c r="GU89" s="585">
        <f t="shared" si="1230"/>
        <v>1587.2956775790321</v>
      </c>
      <c r="GV89" s="584">
        <f t="shared" si="1230"/>
        <v>21586.659991269302</v>
      </c>
      <c r="GW89" s="573">
        <f t="shared" si="1230"/>
        <v>456.43509412736518</v>
      </c>
      <c r="GX89" s="585">
        <f t="shared" si="1230"/>
        <v>2016.9029425672447</v>
      </c>
      <c r="GZ89" s="559" t="s">
        <v>609</v>
      </c>
      <c r="HA89" s="584">
        <f t="shared" ref="HA89:HI89" si="1231">SUM(HA79:HA83)</f>
        <v>6959.5372660000003</v>
      </c>
      <c r="HB89" s="573">
        <f t="shared" si="1231"/>
        <v>11627.462346</v>
      </c>
      <c r="HC89" s="585">
        <f t="shared" si="1231"/>
        <v>109.47894899999983</v>
      </c>
      <c r="HD89" s="584">
        <f t="shared" si="1231"/>
        <v>7371.7437265314356</v>
      </c>
      <c r="HE89" s="573">
        <f t="shared" si="1231"/>
        <v>12949.170729386966</v>
      </c>
      <c r="HF89" s="585">
        <f t="shared" si="1231"/>
        <v>241.07089439495905</v>
      </c>
      <c r="HG89" s="584">
        <f t="shared" si="1231"/>
        <v>7345.9772603883939</v>
      </c>
      <c r="HH89" s="573">
        <f t="shared" si="1231"/>
        <v>16537.632830391845</v>
      </c>
      <c r="HI89" s="585">
        <f t="shared" si="1231"/>
        <v>176.38793718367504</v>
      </c>
      <c r="HK89" s="559" t="s">
        <v>609</v>
      </c>
      <c r="HL89" s="573">
        <f t="shared" ref="HL89:HO89" si="1232">SUM(HL79:HL83)</f>
        <v>17572.211286000002</v>
      </c>
      <c r="HM89" s="573">
        <f t="shared" ref="HM89" si="1233">SUM(HM79:HM83)</f>
        <v>61809.784697999989</v>
      </c>
      <c r="HN89" s="780">
        <f t="shared" si="477"/>
        <v>3.5174733385572599</v>
      </c>
      <c r="HO89" s="584">
        <f t="shared" si="1232"/>
        <v>18745.280285570396</v>
      </c>
      <c r="HP89" s="573">
        <f t="shared" ref="HP89" si="1234">SUM(HP79:HP83)</f>
        <v>65289.398885292452</v>
      </c>
      <c r="HQ89" s="780">
        <f t="shared" si="479"/>
        <v>3.4829780024975379</v>
      </c>
      <c r="HR89" s="573">
        <f>SUM(HR79:HR83)</f>
        <v>21586.659991269302</v>
      </c>
      <c r="HS89" s="573">
        <f>SUM(HS79:HS83)</f>
        <v>72969.474461923906</v>
      </c>
      <c r="HT89" s="784">
        <f t="shared" si="480"/>
        <v>3.3803040623902132</v>
      </c>
      <c r="HV89" s="559" t="s">
        <v>609</v>
      </c>
      <c r="HW89" s="584">
        <f>SUM(HW79:HW83)</f>
        <v>6678.8680039999999</v>
      </c>
      <c r="HX89" s="573">
        <f>SUM(HX79:HX83)</f>
        <v>30848.812624999999</v>
      </c>
      <c r="HY89" s="791">
        <f t="shared" si="481"/>
        <v>4.6188684379635179</v>
      </c>
      <c r="HZ89" s="573">
        <f>SUM(HZ79:HZ83)</f>
        <v>10785.958794999999</v>
      </c>
      <c r="IA89" s="573">
        <f>SUM(IA79:IA83)</f>
        <v>30789.769446999999</v>
      </c>
      <c r="IB89" s="791">
        <f t="shared" si="482"/>
        <v>2.854615897593924</v>
      </c>
      <c r="IC89" s="584">
        <f>SUM(IC79:IC83)</f>
        <v>6952.1694660720732</v>
      </c>
      <c r="ID89" s="573">
        <f>SUM(ID79:ID83)</f>
        <v>32213.868562038027</v>
      </c>
      <c r="IE89" s="791">
        <f t="shared" si="483"/>
        <v>4.6336425944804587</v>
      </c>
      <c r="IF89" s="573">
        <f>SUM(IF79:IF83)</f>
        <v>11572.154079399153</v>
      </c>
      <c r="IG89" s="573">
        <f>SUM(IG79:IG83)</f>
        <v>32757.124226787051</v>
      </c>
      <c r="IH89" s="779">
        <f t="shared" si="126"/>
        <v>2.8306851085833329</v>
      </c>
      <c r="II89" s="584">
        <f>SUM(II79:II83)</f>
        <v>6835.6231514079409</v>
      </c>
      <c r="IJ89" s="573">
        <f>SUM(IJ79:IJ83)</f>
        <v>31781.956487380565</v>
      </c>
      <c r="IK89" s="791">
        <f t="shared" si="484"/>
        <v>4.6494600102163908</v>
      </c>
      <c r="IL89" s="573">
        <f>SUM(IL79:IL83)</f>
        <v>14619.625011892713</v>
      </c>
      <c r="IM89" s="573">
        <f>SUM(IM79:IM83)</f>
        <v>40972.944234547751</v>
      </c>
      <c r="IN89" s="780">
        <f t="shared" si="485"/>
        <v>2.8025988492329486</v>
      </c>
      <c r="IP89" s="559" t="s">
        <v>609</v>
      </c>
      <c r="IQ89" s="584">
        <f>SUM(IQ79:IQ83)</f>
        <v>1500.5278000000003</v>
      </c>
      <c r="IR89" s="573">
        <f t="shared" ref="IR89:JH89" si="1235">SUM(IR79:IR83)</f>
        <v>3041.2655889999996</v>
      </c>
      <c r="IS89" s="573">
        <f t="shared" si="1235"/>
        <v>4341.7740409999997</v>
      </c>
      <c r="IT89" s="573">
        <f t="shared" si="1235"/>
        <v>4603.0551850000002</v>
      </c>
      <c r="IU89" s="573">
        <f t="shared" si="1235"/>
        <v>4085.5886730000002</v>
      </c>
      <c r="IV89" s="573">
        <f t="shared" si="1235"/>
        <v>61809.784697999989</v>
      </c>
      <c r="IW89" s="584">
        <f t="shared" si="1235"/>
        <v>1775.1177007680953</v>
      </c>
      <c r="IX89" s="573">
        <f t="shared" si="1235"/>
        <v>3322.2284692901067</v>
      </c>
      <c r="IY89" s="573">
        <f t="shared" si="1235"/>
        <v>4558.3816508036452</v>
      </c>
      <c r="IZ89" s="573">
        <f t="shared" si="1235"/>
        <v>4990.5024922965822</v>
      </c>
      <c r="JA89" s="573">
        <f t="shared" si="1235"/>
        <v>4099.0499724119654</v>
      </c>
      <c r="JB89" s="573">
        <f t="shared" si="1235"/>
        <v>65289.398885292452</v>
      </c>
      <c r="JC89" s="584">
        <f t="shared" si="1235"/>
        <v>1716.0237467563188</v>
      </c>
      <c r="JD89" s="573">
        <f t="shared" si="1235"/>
        <v>4694.4296821602829</v>
      </c>
      <c r="JE89" s="573">
        <f t="shared" si="1235"/>
        <v>5917.5842151731877</v>
      </c>
      <c r="JF89" s="573">
        <f t="shared" si="1235"/>
        <v>4969.2630871739957</v>
      </c>
      <c r="JG89" s="573">
        <f t="shared" si="1235"/>
        <v>4289.3592600055181</v>
      </c>
      <c r="JH89" s="585">
        <f t="shared" si="1235"/>
        <v>72969.474461923906</v>
      </c>
      <c r="JJ89" s="559" t="s">
        <v>609</v>
      </c>
      <c r="JK89" s="584">
        <f t="shared" ref="JK89:JV89" si="1236">SUM(JK79:JK83)</f>
        <v>7665.7100330000003</v>
      </c>
      <c r="JL89" s="573">
        <f t="shared" si="1236"/>
        <v>4773.9627390000005</v>
      </c>
      <c r="JM89" s="573">
        <f t="shared" si="1236"/>
        <v>4955.8702430000012</v>
      </c>
      <c r="JN89" s="585">
        <f t="shared" si="1236"/>
        <v>176.66826900000001</v>
      </c>
      <c r="JO89" s="584">
        <f t="shared" si="1236"/>
        <v>8239.4723237316211</v>
      </c>
      <c r="JP89" s="573">
        <f t="shared" si="1236"/>
        <v>4872.5140685562046</v>
      </c>
      <c r="JQ89" s="573">
        <f t="shared" si="1236"/>
        <v>5404.6535424352987</v>
      </c>
      <c r="JR89" s="585">
        <f t="shared" si="1236"/>
        <v>228.64035084727047</v>
      </c>
      <c r="JS89" s="584">
        <f t="shared" si="1236"/>
        <v>8781.7990208244992</v>
      </c>
      <c r="JT89" s="573">
        <f t="shared" si="1236"/>
        <v>7145.729330594063</v>
      </c>
      <c r="JU89" s="573">
        <f t="shared" si="1236"/>
        <v>5466.3122161400388</v>
      </c>
      <c r="JV89" s="585">
        <f t="shared" si="1236"/>
        <v>192.81942371071096</v>
      </c>
      <c r="JX89" s="559" t="s">
        <v>609</v>
      </c>
      <c r="JY89" s="584">
        <f t="shared" ref="JY89:KB89" si="1237">SUM(JY79:JY83)</f>
        <v>3832.077577093251</v>
      </c>
      <c r="JZ89" s="573">
        <f t="shared" si="1237"/>
        <v>6126.2331671549864</v>
      </c>
      <c r="KA89" s="573">
        <f t="shared" si="1237"/>
        <v>3857.7997721285201</v>
      </c>
      <c r="KB89" s="562">
        <f t="shared" si="1237"/>
        <v>7770.5494748925457</v>
      </c>
      <c r="KC89" s="604"/>
      <c r="KD89" s="559" t="s">
        <v>609</v>
      </c>
      <c r="KE89" s="584">
        <f t="shared" ref="KE89:KV89" si="1238">SUM(KE79:KE83)</f>
        <v>251.81129435517329</v>
      </c>
      <c r="KF89" s="573">
        <f t="shared" si="1238"/>
        <v>298.57899590177215</v>
      </c>
      <c r="KG89" s="573">
        <f t="shared" si="1238"/>
        <v>3820.6483774164335</v>
      </c>
      <c r="KH89" s="573">
        <f t="shared" si="1238"/>
        <v>3692.3738662771093</v>
      </c>
      <c r="KI89" s="573">
        <f t="shared" si="1238"/>
        <v>2248.4281637928734</v>
      </c>
      <c r="KJ89" s="585">
        <f t="shared" si="1238"/>
        <v>3885.95601790929</v>
      </c>
      <c r="KK89" s="584">
        <f t="shared" si="1238"/>
        <v>512.74702207974076</v>
      </c>
      <c r="KL89" s="573">
        <f t="shared" si="1238"/>
        <v>530.98327795626892</v>
      </c>
      <c r="KM89" s="573">
        <f t="shared" si="1238"/>
        <v>2145.6261664016438</v>
      </c>
      <c r="KN89" s="573">
        <f t="shared" si="1238"/>
        <v>2483.79466803388</v>
      </c>
      <c r="KO89" s="573">
        <f t="shared" si="1238"/>
        <v>619.73078997332073</v>
      </c>
      <c r="KP89" s="585">
        <f t="shared" si="1238"/>
        <v>514.59208530940055</v>
      </c>
      <c r="KQ89" s="584">
        <f t="shared" si="1238"/>
        <v>764.5583164349141</v>
      </c>
      <c r="KR89" s="573">
        <f t="shared" si="1238"/>
        <v>838.50704696692458</v>
      </c>
      <c r="KS89" s="573">
        <f t="shared" si="1238"/>
        <v>5985.0071555974009</v>
      </c>
      <c r="KT89" s="573">
        <f t="shared" si="1238"/>
        <v>6264.1952152464537</v>
      </c>
      <c r="KU89" s="573">
        <f t="shared" si="1238"/>
        <v>2873.9561960437709</v>
      </c>
      <c r="KV89" s="585">
        <f t="shared" si="1238"/>
        <v>4410.4586230860959</v>
      </c>
      <c r="KW89" s="429"/>
      <c r="KX89" s="559" t="s">
        <v>609</v>
      </c>
      <c r="KY89" s="584">
        <f t="shared" ref="KY89:LA89" si="1239">SUM(KY79:KY83)</f>
        <v>3461.3648890000009</v>
      </c>
      <c r="KZ89" s="573">
        <f t="shared" si="1239"/>
        <v>9876.2790489999988</v>
      </c>
      <c r="LA89" s="585">
        <f t="shared" si="1239"/>
        <v>4235.5673459999998</v>
      </c>
      <c r="LB89" s="584">
        <f t="shared" ref="LB89:LD89" si="1240">SUM(LB79:LB83)</f>
        <v>3990.458302961466</v>
      </c>
      <c r="LC89" s="573">
        <f t="shared" si="1240"/>
        <v>10629.90942113372</v>
      </c>
      <c r="LD89" s="585">
        <f t="shared" si="1240"/>
        <v>4129.9125575676471</v>
      </c>
      <c r="LE89" s="584">
        <f t="shared" ref="LE89:LG89" si="1241">SUM(LE79:LE83)</f>
        <v>4437.1970677681074</v>
      </c>
      <c r="LF89" s="573">
        <f t="shared" si="1241"/>
        <v>12545.424760971386</v>
      </c>
      <c r="LG89" s="585">
        <f t="shared" si="1241"/>
        <v>4604.0381625298178</v>
      </c>
      <c r="LH89" s="426"/>
      <c r="LI89" s="559" t="s">
        <v>609</v>
      </c>
      <c r="LJ89" s="584">
        <f>SUM(LJ79:LJ83)</f>
        <v>17469.175468000001</v>
      </c>
      <c r="LK89" s="573">
        <f t="shared" ref="LK89:MA89" si="1242">SUM(LK79:LK83)</f>
        <v>15528.824724999997</v>
      </c>
      <c r="LL89" s="573">
        <f t="shared" si="1242"/>
        <v>1940.3507420000001</v>
      </c>
      <c r="LM89" s="573">
        <f t="shared" si="1242"/>
        <v>3195.6525750000001</v>
      </c>
      <c r="LN89" s="573">
        <f t="shared" si="1242"/>
        <v>1866.6067739999999</v>
      </c>
      <c r="LO89" s="585">
        <f t="shared" si="1242"/>
        <v>1473.3671769999999</v>
      </c>
      <c r="LP89" s="584">
        <f t="shared" si="1242"/>
        <v>18304.227959345768</v>
      </c>
      <c r="LQ89" s="573">
        <f t="shared" si="1242"/>
        <v>15460.460527317355</v>
      </c>
      <c r="LR89" s="573">
        <f t="shared" si="1242"/>
        <v>2843.7674320284164</v>
      </c>
      <c r="LS89" s="573">
        <f t="shared" si="1242"/>
        <v>3056.7848096108064</v>
      </c>
      <c r="LT89" s="573">
        <f t="shared" si="1242"/>
        <v>1569.4665916347972</v>
      </c>
      <c r="LU89" s="585">
        <f t="shared" si="1242"/>
        <v>1447.6673994003909</v>
      </c>
      <c r="LV89" s="584">
        <f t="shared" si="1242"/>
        <v>20693.687855742803</v>
      </c>
      <c r="LW89" s="573">
        <f t="shared" si="1242"/>
        <v>17664.557519664231</v>
      </c>
      <c r="LX89" s="573">
        <f t="shared" si="1242"/>
        <v>3029.1303360785646</v>
      </c>
      <c r="LY89" s="573">
        <f t="shared" si="1242"/>
        <v>3108.6362727010232</v>
      </c>
      <c r="LZ89" s="573">
        <f t="shared" si="1242"/>
        <v>1355.1411191158807</v>
      </c>
      <c r="MA89" s="585">
        <f t="shared" si="1242"/>
        <v>1757.6207292215677</v>
      </c>
      <c r="MC89" s="559" t="s">
        <v>609</v>
      </c>
      <c r="MD89" s="584">
        <f t="shared" ref="MD89:MU89" si="1243">SUM(MD79:MD83)</f>
        <v>10.352169</v>
      </c>
      <c r="ME89" s="573">
        <f t="shared" si="1243"/>
        <v>503.49035099999998</v>
      </c>
      <c r="MF89" s="573">
        <f t="shared" si="1243"/>
        <v>2158.9222260000001</v>
      </c>
      <c r="MG89" s="573">
        <f t="shared" si="1243"/>
        <v>4183.7964520000005</v>
      </c>
      <c r="MH89" s="573">
        <f t="shared" si="1243"/>
        <v>4961.4752439999993</v>
      </c>
      <c r="MI89" s="585">
        <f t="shared" si="1243"/>
        <v>3717.788278</v>
      </c>
      <c r="MJ89" s="584">
        <f t="shared" si="1243"/>
        <v>2.1572789556677598</v>
      </c>
      <c r="MK89" s="573">
        <f t="shared" si="1243"/>
        <v>536.61406098675616</v>
      </c>
      <c r="ML89" s="573">
        <f t="shared" si="1243"/>
        <v>2419.1051551488126</v>
      </c>
      <c r="MM89" s="573">
        <f t="shared" si="1243"/>
        <v>4161.8459500722329</v>
      </c>
      <c r="MN89" s="573">
        <f t="shared" si="1243"/>
        <v>4835.9528296584103</v>
      </c>
      <c r="MO89" s="585">
        <f t="shared" si="1243"/>
        <v>3515.7852438988343</v>
      </c>
      <c r="MP89" s="584">
        <f t="shared" si="1243"/>
        <v>1.0413425601953701</v>
      </c>
      <c r="MQ89" s="573">
        <f t="shared" si="1243"/>
        <v>724.98603311293982</v>
      </c>
      <c r="MR89" s="573">
        <f t="shared" si="1243"/>
        <v>2821.2653767163783</v>
      </c>
      <c r="MS89" s="573">
        <f t="shared" si="1243"/>
        <v>5136.0648973015359</v>
      </c>
      <c r="MT89" s="573">
        <f t="shared" si="1243"/>
        <v>5701.2792184798509</v>
      </c>
      <c r="MU89" s="585">
        <f t="shared" si="1243"/>
        <v>3268.9206403240955</v>
      </c>
      <c r="MW89" s="559" t="s">
        <v>609</v>
      </c>
      <c r="MX89" s="584">
        <f t="shared" ref="MX89:NF89" si="1244">SUM(MX79:MX83)</f>
        <v>15676.609887999999</v>
      </c>
      <c r="MY89" s="573">
        <f t="shared" si="1244"/>
        <v>14626.540817000001</v>
      </c>
      <c r="MZ89" s="573">
        <f t="shared" si="1244"/>
        <v>1050.069066</v>
      </c>
      <c r="NA89" s="584">
        <f t="shared" si="1244"/>
        <v>15631.399861143103</v>
      </c>
      <c r="NB89" s="573">
        <f t="shared" si="1244"/>
        <v>14456.623512111742</v>
      </c>
      <c r="NC89" s="585">
        <f t="shared" si="1244"/>
        <v>1174.7763490313605</v>
      </c>
      <c r="ND89" s="584">
        <f t="shared" si="1244"/>
        <v>17862.469699316462</v>
      </c>
      <c r="NE89" s="573">
        <f t="shared" si="1244"/>
        <v>16422.413695112129</v>
      </c>
      <c r="NF89" s="585">
        <f t="shared" si="1244"/>
        <v>1440.0560042043383</v>
      </c>
      <c r="NH89" s="559" t="s">
        <v>609</v>
      </c>
      <c r="NI89" s="584">
        <f t="shared" ref="NI89:NR89" si="1245">SUM(NI79:NI83)</f>
        <v>11874.364112862666</v>
      </c>
      <c r="NJ89" s="585">
        <f t="shared" si="1245"/>
        <v>2582.2593992490797</v>
      </c>
      <c r="NK89" s="584">
        <f t="shared" si="1245"/>
        <v>721.55090164027888</v>
      </c>
      <c r="NL89" s="573">
        <f t="shared" si="1245"/>
        <v>436.75901600150604</v>
      </c>
      <c r="NM89" s="585">
        <f t="shared" si="1245"/>
        <v>16.466431389575678</v>
      </c>
      <c r="NN89" s="584">
        <f t="shared" si="1245"/>
        <v>13373.631224180685</v>
      </c>
      <c r="NO89" s="585">
        <f t="shared" si="1245"/>
        <v>3048.7824709314336</v>
      </c>
      <c r="NP89" s="584">
        <f t="shared" si="1245"/>
        <v>942.30425392146094</v>
      </c>
      <c r="NQ89" s="573">
        <f t="shared" si="1245"/>
        <v>475.89465166191957</v>
      </c>
      <c r="NR89" s="585">
        <f t="shared" si="1245"/>
        <v>21.857098620957593</v>
      </c>
      <c r="NS89" s="136"/>
      <c r="NT89" s="559" t="s">
        <v>609</v>
      </c>
      <c r="NU89" s="584">
        <f t="shared" ref="NU89:OB89" si="1246">SUM(NU79:NU83)</f>
        <v>1614.6520692702436</v>
      </c>
      <c r="NV89" s="573">
        <f t="shared" si="1246"/>
        <v>276.23696442214703</v>
      </c>
      <c r="NW89" s="573">
        <f t="shared" si="1246"/>
        <v>110.34368397150988</v>
      </c>
      <c r="NX89" s="585">
        <f t="shared" si="1246"/>
        <v>581.02668158517895</v>
      </c>
      <c r="NY89" s="584">
        <f t="shared" si="1246"/>
        <v>1875.4534044672159</v>
      </c>
      <c r="NZ89" s="573">
        <f t="shared" si="1246"/>
        <v>460.31168338591573</v>
      </c>
      <c r="OA89" s="573">
        <f t="shared" si="1246"/>
        <v>106.48811567419945</v>
      </c>
      <c r="OB89" s="585">
        <f t="shared" si="1246"/>
        <v>606.52926740410282</v>
      </c>
      <c r="OC89" s="553"/>
      <c r="OD89" s="559" t="s">
        <v>609</v>
      </c>
      <c r="OE89" s="584">
        <f t="shared" ref="OE89:OR89" si="1247">SUM(OE79:OE83)</f>
        <v>1124.9673911600476</v>
      </c>
      <c r="OF89" s="573">
        <f t="shared" si="1247"/>
        <v>1946.2747752213718</v>
      </c>
      <c r="OG89" s="573">
        <f t="shared" si="1247"/>
        <v>1506.8394694563278</v>
      </c>
      <c r="OH89" s="573">
        <f t="shared" si="1247"/>
        <v>1206.3923217648735</v>
      </c>
      <c r="OI89" s="573">
        <f t="shared" si="1247"/>
        <v>2793.6984561388267</v>
      </c>
      <c r="OJ89" s="573">
        <f t="shared" si="1247"/>
        <v>334.31344183796693</v>
      </c>
      <c r="OK89" s="585">
        <f t="shared" si="1247"/>
        <v>313.90229000363308</v>
      </c>
      <c r="OL89" s="584">
        <f t="shared" si="1247"/>
        <v>1664.2969729226322</v>
      </c>
      <c r="OM89" s="573">
        <f t="shared" si="1247"/>
        <v>2041.7092848899397</v>
      </c>
      <c r="ON89" s="573">
        <f t="shared" si="1247"/>
        <v>1559.5683074243475</v>
      </c>
      <c r="OO89" s="573">
        <f t="shared" si="1247"/>
        <v>1283.9540848314959</v>
      </c>
      <c r="OP89" s="573">
        <f t="shared" si="1247"/>
        <v>5289.6476938375208</v>
      </c>
      <c r="OQ89" s="573">
        <f t="shared" si="1247"/>
        <v>3448.6442769283094</v>
      </c>
      <c r="OR89" s="585">
        <f t="shared" si="1247"/>
        <v>25827.819730940821</v>
      </c>
      <c r="OT89" s="559" t="s">
        <v>609</v>
      </c>
      <c r="OU89" s="584">
        <f t="shared" ref="OU89:PF89" si="1248">SUM(OU79:OU83)</f>
        <v>9629.100821</v>
      </c>
      <c r="OV89" s="573">
        <f t="shared" si="1248"/>
        <v>6479.2906750000002</v>
      </c>
      <c r="OW89" s="573">
        <f t="shared" si="1248"/>
        <v>4534.4438079999991</v>
      </c>
      <c r="OX89" s="585">
        <f t="shared" si="1248"/>
        <v>6196.438728000001</v>
      </c>
      <c r="OY89" s="584">
        <f t="shared" si="1248"/>
        <v>9244.5163127828146</v>
      </c>
      <c r="OZ89" s="573">
        <f t="shared" si="1248"/>
        <v>6651.7639666259984</v>
      </c>
      <c r="PA89" s="573">
        <f t="shared" si="1248"/>
        <v>4700.3954986040517</v>
      </c>
      <c r="PB89" s="585">
        <f t="shared" si="1248"/>
        <v>7596.9377650204797</v>
      </c>
      <c r="PC89" s="584">
        <f t="shared" si="1248"/>
        <v>8196.6773904275015</v>
      </c>
      <c r="PD89" s="573">
        <f t="shared" si="1248"/>
        <v>7146.2479353603539</v>
      </c>
      <c r="PE89" s="573">
        <f t="shared" si="1248"/>
        <v>5446.4836834994467</v>
      </c>
      <c r="PF89" s="585">
        <f t="shared" si="1248"/>
        <v>10412.350267505533</v>
      </c>
      <c r="PH89" s="559" t="s">
        <v>609</v>
      </c>
      <c r="PI89" s="584">
        <f t="shared" ref="PI89:PP89" si="1249">SUM(PI79:PI83)</f>
        <v>3174.6022939883637</v>
      </c>
      <c r="PJ89" s="573">
        <f t="shared" si="1249"/>
        <v>3748.86396208828</v>
      </c>
      <c r="PK89" s="573">
        <f t="shared" si="1249"/>
        <v>2624.6144070572873</v>
      </c>
      <c r="PL89" s="585">
        <f t="shared" si="1249"/>
        <v>4774.1538883404146</v>
      </c>
      <c r="PM89" s="584">
        <f t="shared" si="1249"/>
        <v>5022.0750964391391</v>
      </c>
      <c r="PN89" s="573">
        <f t="shared" si="1249"/>
        <v>3397.3839732720735</v>
      </c>
      <c r="PO89" s="573">
        <f t="shared" si="1249"/>
        <v>2821.8692764421585</v>
      </c>
      <c r="PP89" s="585">
        <f t="shared" si="1249"/>
        <v>5638.1963791651178</v>
      </c>
      <c r="PQ89" s="65"/>
      <c r="PR89" s="563" t="s">
        <v>609</v>
      </c>
      <c r="PS89" s="1038">
        <f t="shared" ref="PS89:PW89" si="1250">SUM(PS79:PS83)</f>
        <v>486.38554435044074</v>
      </c>
      <c r="PT89" s="1039">
        <f t="shared" si="1250"/>
        <v>914.13961008238925</v>
      </c>
      <c r="PU89" s="1039">
        <f t="shared" si="1250"/>
        <v>807.70009327985042</v>
      </c>
      <c r="PV89" s="1039">
        <f t="shared" si="1250"/>
        <v>270.1260749550388</v>
      </c>
      <c r="PW89" s="1039">
        <f t="shared" si="1250"/>
        <v>11640.383734556968</v>
      </c>
      <c r="PX89" s="1040">
        <f t="shared" ref="PX89" si="1251">SUM(PX79:PX83)</f>
        <v>3735.7346339686997</v>
      </c>
      <c r="PZ89" s="563" t="s">
        <v>609</v>
      </c>
      <c r="QA89" s="1038">
        <f t="shared" ref="QA89:QF89" si="1252">SUM(QA79:QA83)</f>
        <v>11031.596179335487</v>
      </c>
      <c r="QB89" s="1039">
        <f t="shared" si="1252"/>
        <v>6830.8735199809762</v>
      </c>
      <c r="QC89" s="1039">
        <f t="shared" si="1252"/>
        <v>5722.8193230572842</v>
      </c>
      <c r="QD89" s="1039">
        <f t="shared" ref="QD89" si="1253">SUM(QD79:QD83)</f>
        <v>440.0558371567177</v>
      </c>
      <c r="QE89" s="1039">
        <f t="shared" si="1252"/>
        <v>649.16718425003558</v>
      </c>
      <c r="QF89" s="1040">
        <f t="shared" si="1252"/>
        <v>18.831175516936959</v>
      </c>
    </row>
    <row r="90" spans="1:448" ht="13.5" customHeight="1">
      <c r="A90" s="136"/>
      <c r="B90" s="171" t="s">
        <v>608</v>
      </c>
      <c r="C90" s="574">
        <f t="shared" ref="C90" si="1254">SUM(C84:C87)</f>
        <v>14562.240677999998</v>
      </c>
      <c r="D90" s="574">
        <f t="shared" ref="D90:E90" si="1255">SUM(D84:D87)</f>
        <v>15086.531482450137</v>
      </c>
      <c r="E90" s="575">
        <f t="shared" si="1255"/>
        <v>15133.40631202742</v>
      </c>
      <c r="F90" s="136"/>
      <c r="G90" s="171" t="s">
        <v>608</v>
      </c>
      <c r="H90" s="239">
        <f t="shared" si="447"/>
        <v>7.0991739728916148E-3</v>
      </c>
      <c r="I90" s="1133">
        <f t="shared" si="448"/>
        <v>6.2064207071044208E-4</v>
      </c>
      <c r="J90" s="681"/>
      <c r="K90" s="63"/>
      <c r="L90" s="171" t="s">
        <v>608</v>
      </c>
      <c r="M90" s="574">
        <f t="shared" ref="M90:T90" si="1256">SUM(M84:M87)</f>
        <v>214</v>
      </c>
      <c r="N90" s="574">
        <f t="shared" si="1256"/>
        <v>184</v>
      </c>
      <c r="O90" s="574">
        <f t="shared" si="1256"/>
        <v>189</v>
      </c>
      <c r="P90" s="574">
        <f t="shared" si="1256"/>
        <v>195</v>
      </c>
      <c r="Q90" s="574">
        <f t="shared" si="1256"/>
        <v>197</v>
      </c>
      <c r="R90" s="574">
        <f t="shared" si="1256"/>
        <v>187</v>
      </c>
      <c r="S90" s="574">
        <f t="shared" si="1256"/>
        <v>219</v>
      </c>
      <c r="T90" s="574">
        <f t="shared" si="1256"/>
        <v>208</v>
      </c>
      <c r="U90" s="628">
        <f t="shared" ref="U90:V90" si="1257">SUM(U84:U87)</f>
        <v>156</v>
      </c>
      <c r="V90" s="628">
        <f t="shared" si="1257"/>
        <v>168</v>
      </c>
      <c r="W90" s="575">
        <f t="shared" ref="W90" si="1258">SUM(W84:W87)</f>
        <v>195</v>
      </c>
      <c r="X90" s="171" t="s">
        <v>608</v>
      </c>
      <c r="Y90" s="662">
        <f>SUM(Y60:Y65)</f>
        <v>199</v>
      </c>
      <c r="Z90" s="662">
        <f t="shared" ref="Z90:AB90" si="1259">SUM(Z60:Z65)</f>
        <v>192</v>
      </c>
      <c r="AA90" s="662">
        <f t="shared" si="1259"/>
        <v>192</v>
      </c>
      <c r="AB90" s="662">
        <f t="shared" si="1259"/>
        <v>213.5</v>
      </c>
      <c r="AC90" s="1208">
        <f t="shared" ref="AC90" si="1260">SUM(AC60:AC65)</f>
        <v>213.5</v>
      </c>
      <c r="AD90" s="677">
        <f t="shared" si="98"/>
        <v>-3.5175879396984924E-2</v>
      </c>
      <c r="AE90" s="677">
        <f t="shared" si="99"/>
        <v>0</v>
      </c>
      <c r="AF90" s="677">
        <f t="shared" si="100"/>
        <v>0.11197916666666667</v>
      </c>
      <c r="AG90" s="1219">
        <f t="shared" si="101"/>
        <v>0</v>
      </c>
      <c r="AN90" s="171" t="s">
        <v>608</v>
      </c>
      <c r="AO90" s="574">
        <f t="shared" ref="AO90:AV90" si="1261">SUM(AO84:AO87)</f>
        <v>3.2943009999999999</v>
      </c>
      <c r="AP90" s="574">
        <f t="shared" si="1261"/>
        <v>134.010097</v>
      </c>
      <c r="AQ90" s="574">
        <f t="shared" si="1261"/>
        <v>682.10997999999995</v>
      </c>
      <c r="AR90" s="574">
        <f t="shared" si="1261"/>
        <v>1517.6342679999998</v>
      </c>
      <c r="AS90" s="574">
        <f t="shared" si="1261"/>
        <v>2291.4416689999998</v>
      </c>
      <c r="AT90" s="574">
        <f t="shared" si="1261"/>
        <v>1667.294281</v>
      </c>
      <c r="AU90" s="574">
        <f t="shared" si="1261"/>
        <v>2661.4438529999998</v>
      </c>
      <c r="AV90" s="574">
        <f t="shared" si="1261"/>
        <v>3750.0791940000004</v>
      </c>
      <c r="AW90" s="586">
        <f t="shared" ref="AW90:BD90" si="1262">SUM(AW84:AW87)</f>
        <v>2.13403575320151</v>
      </c>
      <c r="AX90" s="574">
        <f t="shared" si="1262"/>
        <v>161.15906699080782</v>
      </c>
      <c r="AY90" s="574">
        <f t="shared" si="1262"/>
        <v>770.09395601821348</v>
      </c>
      <c r="AZ90" s="574">
        <f t="shared" si="1262"/>
        <v>1476.7365359992516</v>
      </c>
      <c r="BA90" s="574">
        <f t="shared" si="1262"/>
        <v>2415.8282741240268</v>
      </c>
      <c r="BB90" s="574">
        <f t="shared" si="1262"/>
        <v>1762.3719015453228</v>
      </c>
      <c r="BC90" s="574">
        <f t="shared" si="1262"/>
        <v>2607.1038764470991</v>
      </c>
      <c r="BD90" s="574">
        <f t="shared" si="1262"/>
        <v>3813.2328089439184</v>
      </c>
      <c r="BE90" s="586">
        <f t="shared" ref="BE90:BL90" si="1263">SUM(BE84:BE87)</f>
        <v>4.6666948134838595</v>
      </c>
      <c r="BF90" s="574">
        <f t="shared" si="1263"/>
        <v>215.26914895402234</v>
      </c>
      <c r="BG90" s="574">
        <f t="shared" si="1263"/>
        <v>884.71462716198062</v>
      </c>
      <c r="BH90" s="574">
        <f t="shared" si="1263"/>
        <v>1776.8928751611841</v>
      </c>
      <c r="BI90" s="574">
        <f t="shared" si="1263"/>
        <v>2260.4105762927338</v>
      </c>
      <c r="BJ90" s="574">
        <f t="shared" si="1263"/>
        <v>1643.6857857768821</v>
      </c>
      <c r="BK90" s="574">
        <f t="shared" si="1263"/>
        <v>2557.3298800962011</v>
      </c>
      <c r="BL90" s="587">
        <f t="shared" si="1263"/>
        <v>3855.9124178321117</v>
      </c>
      <c r="BN90" s="171" t="s">
        <v>608</v>
      </c>
      <c r="BO90" s="586">
        <f t="shared" ref="BO90:BT90" si="1264">SUM(BO84:BO87)</f>
        <v>1855.9330319999999</v>
      </c>
      <c r="BP90" s="574">
        <f t="shared" si="1264"/>
        <v>5536.0471580000003</v>
      </c>
      <c r="BQ90" s="574">
        <f t="shared" si="1264"/>
        <v>2458.2863780000002</v>
      </c>
      <c r="BR90" s="574">
        <f t="shared" si="1264"/>
        <v>1927.3128920000001</v>
      </c>
      <c r="BS90" s="574">
        <f t="shared" si="1264"/>
        <v>1664.121586</v>
      </c>
      <c r="BT90" s="587">
        <f t="shared" si="1264"/>
        <v>1120.539632</v>
      </c>
      <c r="BU90" s="586">
        <f t="shared" ref="BU90:BZ90" si="1265">SUM(BU84:BU87)</f>
        <v>2069.8710328803945</v>
      </c>
      <c r="BV90" s="574">
        <f t="shared" si="1265"/>
        <v>5346.0235968886936</v>
      </c>
      <c r="BW90" s="574">
        <f t="shared" si="1265"/>
        <v>2579.5394451827042</v>
      </c>
      <c r="BX90" s="574">
        <f t="shared" si="1265"/>
        <v>2225.9434157618934</v>
      </c>
      <c r="BY90" s="574">
        <f t="shared" si="1265"/>
        <v>1691.1117761694238</v>
      </c>
      <c r="BZ90" s="587">
        <f t="shared" si="1265"/>
        <v>1174.0422155670253</v>
      </c>
      <c r="CA90" s="586">
        <f t="shared" ref="CA90:CF90" si="1266">SUM(CA84:CA87)</f>
        <v>1930.524301877289</v>
      </c>
      <c r="CB90" s="574">
        <f t="shared" si="1266"/>
        <v>5383.2964699532831</v>
      </c>
      <c r="CC90" s="574">
        <f t="shared" si="1266"/>
        <v>2555.5794617331649</v>
      </c>
      <c r="CD90" s="574">
        <f t="shared" si="1266"/>
        <v>2272.0069535763641</v>
      </c>
      <c r="CE90" s="574">
        <f t="shared" si="1266"/>
        <v>1869.092171564708</v>
      </c>
      <c r="CF90" s="587">
        <f t="shared" si="1266"/>
        <v>1122.9069533226207</v>
      </c>
      <c r="CG90" s="429"/>
      <c r="CH90" s="171" t="s">
        <v>608</v>
      </c>
      <c r="CI90" s="586">
        <f t="shared" ref="CI90:CK90" si="1267">SUM(CI84:CI87)</f>
        <v>3360.701943</v>
      </c>
      <c r="CJ90" s="574">
        <f t="shared" si="1267"/>
        <v>9022.8387939999993</v>
      </c>
      <c r="CK90" s="574">
        <f t="shared" si="1267"/>
        <v>2178.6999440000004</v>
      </c>
      <c r="CL90" s="586">
        <f t="shared" ref="CL90:CN90" si="1268">SUM(CL84:CL87)</f>
        <v>3459.9548728451632</v>
      </c>
      <c r="CM90" s="574">
        <f t="shared" si="1268"/>
        <v>9493.611166525352</v>
      </c>
      <c r="CN90" s="574">
        <f t="shared" si="1268"/>
        <v>2132.9654430796213</v>
      </c>
      <c r="CO90" s="586">
        <f t="shared" ref="CO90:CQ90" si="1269">SUM(CO84:CO87)</f>
        <v>3435.5570236904687</v>
      </c>
      <c r="CP90" s="574">
        <f t="shared" si="1269"/>
        <v>9365.1460261416978</v>
      </c>
      <c r="CQ90" s="587">
        <f t="shared" si="1269"/>
        <v>2332.7032621952658</v>
      </c>
      <c r="CR90" s="429"/>
      <c r="CS90" s="426"/>
      <c r="CT90" s="426"/>
      <c r="CU90" s="426"/>
      <c r="CV90" s="426"/>
      <c r="CW90" s="426"/>
      <c r="CX90" s="426"/>
      <c r="CY90" s="426"/>
      <c r="CZ90" s="426"/>
      <c r="DA90" s="426"/>
      <c r="DG90" s="171" t="s">
        <v>608</v>
      </c>
      <c r="DH90" s="832"/>
      <c r="DI90" s="833"/>
      <c r="DJ90" s="833"/>
      <c r="DK90" s="833"/>
      <c r="DL90" s="833"/>
      <c r="DM90" s="834"/>
      <c r="DO90" s="171" t="s">
        <v>608</v>
      </c>
      <c r="DP90" s="710">
        <f t="shared" ref="DP90:DR90" si="1270">SUM(DP84:DP87)</f>
        <v>8085.8705060000002</v>
      </c>
      <c r="DQ90" s="574">
        <f t="shared" si="1270"/>
        <v>8297.3675221834055</v>
      </c>
      <c r="DR90" s="587">
        <f t="shared" si="1270"/>
        <v>8685.891295285961</v>
      </c>
      <c r="DS90" s="63"/>
      <c r="DT90" s="171" t="s">
        <v>608</v>
      </c>
      <c r="DU90" s="586">
        <f t="shared" ref="DU90:DW90" si="1271">SUM(DU84:DU87)</f>
        <v>13336.242173999999</v>
      </c>
      <c r="DV90" s="574">
        <f t="shared" si="1271"/>
        <v>13709.532558593166</v>
      </c>
      <c r="DW90" s="587">
        <f t="shared" si="1271"/>
        <v>13924.40508442694</v>
      </c>
      <c r="DX90" s="63"/>
      <c r="DY90" s="171" t="s">
        <v>608</v>
      </c>
      <c r="DZ90" s="1095">
        <f t="shared" si="410"/>
        <v>1.649326706890005</v>
      </c>
      <c r="EA90" s="792">
        <f t="shared" si="411"/>
        <v>1.6522749561159102</v>
      </c>
      <c r="EB90" s="781">
        <f t="shared" si="412"/>
        <v>1.6031060729466007</v>
      </c>
      <c r="ED90" s="541"/>
      <c r="EE90" s="171" t="s">
        <v>608</v>
      </c>
      <c r="EF90" s="586">
        <f t="shared" ref="EF90:EJ90" si="1272">SUM(EF84:EF87)</f>
        <v>4919.8295679999992</v>
      </c>
      <c r="EG90" s="574">
        <f t="shared" si="1272"/>
        <v>204.83188200000001</v>
      </c>
      <c r="EH90" s="574">
        <f t="shared" si="1272"/>
        <v>1391.6969960000001</v>
      </c>
      <c r="EI90" s="574">
        <f t="shared" si="1272"/>
        <v>943.48746900000003</v>
      </c>
      <c r="EJ90" s="587">
        <f t="shared" si="1272"/>
        <v>626.02458799999999</v>
      </c>
      <c r="EK90" s="586">
        <f t="shared" ref="EK90:EO90" si="1273">SUM(EK84:EK87)</f>
        <v>5097.4679406857967</v>
      </c>
      <c r="EL90" s="574">
        <f t="shared" si="1273"/>
        <v>228.06125859517181</v>
      </c>
      <c r="EM90" s="574">
        <f t="shared" si="1273"/>
        <v>1255.3246151247818</v>
      </c>
      <c r="EN90" s="574">
        <f t="shared" si="1273"/>
        <v>929.16112634115439</v>
      </c>
      <c r="EO90" s="587">
        <f t="shared" si="1273"/>
        <v>787.3525814364998</v>
      </c>
      <c r="EP90" s="586">
        <f t="shared" ref="EP90:ET90" si="1274">SUM(EP84:EP87)</f>
        <v>5517.0802336920824</v>
      </c>
      <c r="EQ90" s="574">
        <f t="shared" si="1274"/>
        <v>218.90530206388388</v>
      </c>
      <c r="ER90" s="574">
        <f t="shared" si="1274"/>
        <v>1314.2877647664491</v>
      </c>
      <c r="ES90" s="574">
        <f t="shared" si="1274"/>
        <v>862.10090464862878</v>
      </c>
      <c r="ET90" s="587">
        <f t="shared" si="1274"/>
        <v>773.51709011493176</v>
      </c>
      <c r="EV90" s="171" t="s">
        <v>608</v>
      </c>
      <c r="EW90" s="586">
        <f t="shared" ref="EW90:FD90" si="1275">SUM(EW84:EW87)</f>
        <v>1755.4144210000002</v>
      </c>
      <c r="EX90" s="574">
        <f t="shared" si="1275"/>
        <v>1589.5909939999999</v>
      </c>
      <c r="EY90" s="574">
        <f t="shared" si="1275"/>
        <v>1227.7743310000001</v>
      </c>
      <c r="EZ90" s="574">
        <f t="shared" si="1275"/>
        <v>346.04982400000006</v>
      </c>
      <c r="FA90" s="586">
        <f t="shared" si="1275"/>
        <v>3187.1893719999998</v>
      </c>
      <c r="FB90" s="574">
        <f t="shared" si="1275"/>
        <v>4959.6558919999998</v>
      </c>
      <c r="FC90" s="574">
        <f t="shared" si="1275"/>
        <v>2809.0018660000001</v>
      </c>
      <c r="FD90" s="574">
        <f t="shared" si="1275"/>
        <v>572.46195299999999</v>
      </c>
      <c r="FE90" s="743">
        <f t="shared" ref="FE90:FL90" si="1276">SUM(FE84:FE87)</f>
        <v>1447.8483289600272</v>
      </c>
      <c r="FF90" s="628">
        <f t="shared" si="1276"/>
        <v>1921.073855093558</v>
      </c>
      <c r="FG90" s="628">
        <f t="shared" si="1276"/>
        <v>1318.7382507551788</v>
      </c>
      <c r="FH90" s="575">
        <f t="shared" si="1276"/>
        <v>407.80750744005877</v>
      </c>
      <c r="FI90" s="743">
        <f t="shared" si="1276"/>
        <v>2917.8716960285083</v>
      </c>
      <c r="FJ90" s="628">
        <f t="shared" si="1276"/>
        <v>5387.6065749254412</v>
      </c>
      <c r="FK90" s="628">
        <f t="shared" si="1276"/>
        <v>2704.2738896599813</v>
      </c>
      <c r="FL90" s="575">
        <f t="shared" si="1276"/>
        <v>694.90931430051262</v>
      </c>
      <c r="FM90" s="709">
        <f t="shared" ref="FM90:FT90" si="1277">SUM(FM84:FM87)</f>
        <v>1587.053560556616</v>
      </c>
      <c r="FN90" s="710">
        <f t="shared" si="1277"/>
        <v>1986.4209764412881</v>
      </c>
      <c r="FO90" s="710">
        <f t="shared" si="1277"/>
        <v>1521.8675636661001</v>
      </c>
      <c r="FP90" s="627">
        <f t="shared" si="1277"/>
        <v>419.14265070882408</v>
      </c>
      <c r="FQ90" s="709">
        <f t="shared" si="1277"/>
        <v>3045.7833511945028</v>
      </c>
      <c r="FR90" s="710">
        <f t="shared" si="1277"/>
        <v>5339.0165046662705</v>
      </c>
      <c r="FS90" s="710">
        <f t="shared" si="1277"/>
        <v>2975.0338748844802</v>
      </c>
      <c r="FT90" s="627">
        <f t="shared" si="1277"/>
        <v>655.04707312749304</v>
      </c>
      <c r="FV90" s="171" t="s">
        <v>608</v>
      </c>
      <c r="FW90" s="586">
        <f t="shared" ref="FW90:GH90" si="1278">SUM(FW84:FW87)</f>
        <v>1507.8490290000002</v>
      </c>
      <c r="FX90" s="574">
        <f t="shared" si="1278"/>
        <v>836.83770699999991</v>
      </c>
      <c r="FY90" s="574">
        <f t="shared" si="1278"/>
        <v>435.15148899999997</v>
      </c>
      <c r="FZ90" s="587">
        <f t="shared" si="1278"/>
        <v>205.364664</v>
      </c>
      <c r="GA90" s="586">
        <f t="shared" si="1278"/>
        <v>1397.2258750667502</v>
      </c>
      <c r="GB90" s="574">
        <f t="shared" si="1278"/>
        <v>799.51505424594575</v>
      </c>
      <c r="GC90" s="574">
        <f t="shared" si="1278"/>
        <v>567.8031175361499</v>
      </c>
      <c r="GD90" s="587">
        <f t="shared" si="1278"/>
        <v>220.44675171522508</v>
      </c>
      <c r="GE90" s="586">
        <f t="shared" si="1278"/>
        <v>1427.0710140906731</v>
      </c>
      <c r="GF90" s="574">
        <f t="shared" si="1278"/>
        <v>779.25775900096698</v>
      </c>
      <c r="GG90" s="574">
        <f t="shared" si="1278"/>
        <v>544.16050759292943</v>
      </c>
      <c r="GH90" s="587">
        <f t="shared" si="1278"/>
        <v>213.49263092004844</v>
      </c>
      <c r="GJ90" s="171" t="s">
        <v>608</v>
      </c>
      <c r="GK90" s="574">
        <f t="shared" ref="GK90:GM90" si="1279">SUM(GK84:GK87)</f>
        <v>8912.4901329999993</v>
      </c>
      <c r="GL90" s="574">
        <f t="shared" si="1279"/>
        <v>9287.519561516192</v>
      </c>
      <c r="GM90" s="587">
        <f t="shared" si="1279"/>
        <v>9882.8603563665001</v>
      </c>
      <c r="GO90" s="171" t="s">
        <v>608</v>
      </c>
      <c r="GP90" s="584">
        <f t="shared" ref="GP90:GX90" si="1280">SUM(GP84:GP87)</f>
        <v>8086.8705049999999</v>
      </c>
      <c r="GQ90" s="573">
        <f t="shared" si="1280"/>
        <v>206.34186</v>
      </c>
      <c r="GR90" s="585">
        <f t="shared" si="1280"/>
        <v>619.27776900000003</v>
      </c>
      <c r="GS90" s="584">
        <f t="shared" si="1280"/>
        <v>8301.367519057354</v>
      </c>
      <c r="GT90" s="573">
        <f t="shared" si="1280"/>
        <v>253.03082118054826</v>
      </c>
      <c r="GU90" s="585">
        <f t="shared" si="1280"/>
        <v>733.121221278289</v>
      </c>
      <c r="GV90" s="584">
        <f t="shared" si="1280"/>
        <v>8686.8912963013499</v>
      </c>
      <c r="GW90" s="573">
        <f t="shared" si="1280"/>
        <v>337.14315011910253</v>
      </c>
      <c r="GX90" s="585">
        <f t="shared" si="1280"/>
        <v>858.82590994603902</v>
      </c>
      <c r="GZ90" s="171" t="s">
        <v>608</v>
      </c>
      <c r="HA90" s="586">
        <f t="shared" ref="HA90:HI90" si="1281">SUM(HA84:HA87)</f>
        <v>344.85926499999999</v>
      </c>
      <c r="HB90" s="574">
        <f t="shared" si="1281"/>
        <v>8423.7749700000004</v>
      </c>
      <c r="HC90" s="587">
        <f t="shared" si="1281"/>
        <v>143.8558979999998</v>
      </c>
      <c r="HD90" s="586">
        <f t="shared" si="1281"/>
        <v>279.57264710833374</v>
      </c>
      <c r="HE90" s="574">
        <f t="shared" si="1281"/>
        <v>8760.166119270436</v>
      </c>
      <c r="HF90" s="587">
        <f t="shared" si="1281"/>
        <v>247.78079513742182</v>
      </c>
      <c r="HG90" s="586">
        <f t="shared" si="1281"/>
        <v>243.19588133196072</v>
      </c>
      <c r="HH90" s="574">
        <f t="shared" si="1281"/>
        <v>9425.4200400172413</v>
      </c>
      <c r="HI90" s="587">
        <f t="shared" si="1281"/>
        <v>214.24443501729934</v>
      </c>
      <c r="HK90" s="171" t="s">
        <v>608</v>
      </c>
      <c r="HL90" s="574">
        <f t="shared" ref="HL90:HO90" si="1282">SUM(HL84:HL87)</f>
        <v>8086.8705049999999</v>
      </c>
      <c r="HM90" s="574">
        <f t="shared" ref="HM90" si="1283">SUM(HM84:HM87)</f>
        <v>21825.828687000001</v>
      </c>
      <c r="HN90" s="781">
        <f t="shared" si="477"/>
        <v>2.6989215016495436</v>
      </c>
      <c r="HO90" s="586">
        <f t="shared" si="1282"/>
        <v>8301.367519057354</v>
      </c>
      <c r="HP90" s="574">
        <f t="shared" ref="HP90" si="1284">SUM(HP84:HP87)</f>
        <v>23189.455428840225</v>
      </c>
      <c r="HQ90" s="781">
        <f t="shared" si="479"/>
        <v>2.7934500400812827</v>
      </c>
      <c r="HR90" s="574">
        <f>SUM(HR84:HR87)</f>
        <v>8686.8912963013499</v>
      </c>
      <c r="HS90" s="573">
        <f>SUM(HS84:HS87)</f>
        <v>24036.819642375871</v>
      </c>
      <c r="HT90" s="784">
        <f t="shared" si="480"/>
        <v>2.7670220361350806</v>
      </c>
      <c r="HV90" s="171" t="s">
        <v>608</v>
      </c>
      <c r="HW90" s="586">
        <f>SUM(HW84:HW87)</f>
        <v>321.27656700000006</v>
      </c>
      <c r="HX90" s="574">
        <f>SUM(HX84:HX87)</f>
        <v>1287.8693960000001</v>
      </c>
      <c r="HY90" s="792">
        <f t="shared" si="481"/>
        <v>4.0086004654052463</v>
      </c>
      <c r="HZ90" s="574">
        <f>SUM(HZ84:HZ87)</f>
        <v>7622.7459319999998</v>
      </c>
      <c r="IA90" s="574">
        <f>SUM(IA84:IA87)</f>
        <v>20314.589190999999</v>
      </c>
      <c r="IB90" s="792">
        <f t="shared" si="482"/>
        <v>2.6649962326200747</v>
      </c>
      <c r="IC90" s="586">
        <f>SUM(IC84:IC87)</f>
        <v>259.29876188616305</v>
      </c>
      <c r="ID90" s="574">
        <f>SUM(ID84:ID87)</f>
        <v>1113.7340593855713</v>
      </c>
      <c r="IE90" s="792">
        <f t="shared" si="483"/>
        <v>4.2951769275108269</v>
      </c>
      <c r="IF90" s="574">
        <f>SUM(IF84:IF87)</f>
        <v>7837.8632717854725</v>
      </c>
      <c r="IG90" s="574">
        <f>SUM(IG84:IG87)</f>
        <v>21767.178925615317</v>
      </c>
      <c r="IH90" s="796">
        <f t="shared" si="126"/>
        <v>2.7771827819416317</v>
      </c>
      <c r="II90" s="586">
        <f>SUM(II84:II87)</f>
        <v>232.50352089173938</v>
      </c>
      <c r="IJ90" s="574">
        <f>SUM(IJ84:IJ87)</f>
        <v>1008.9057395828316</v>
      </c>
      <c r="IK90" s="792">
        <f t="shared" si="484"/>
        <v>4.3393138121663473</v>
      </c>
      <c r="IL90" s="574">
        <f>SUM(IL84:IL87)</f>
        <v>8260.0708217505417</v>
      </c>
      <c r="IM90" s="574">
        <f>SUM(IM84:IM87)</f>
        <v>22687.049420800551</v>
      </c>
      <c r="IN90" s="781">
        <f t="shared" si="485"/>
        <v>2.7465926031845482</v>
      </c>
      <c r="IP90" s="171" t="s">
        <v>608</v>
      </c>
      <c r="IQ90" s="586">
        <f>SUM(IQ84:IQ87)</f>
        <v>1993.175395</v>
      </c>
      <c r="IR90" s="574">
        <f t="shared" ref="IR90:JH90" si="1285">SUM(IR84:IR87)</f>
        <v>1795.867493</v>
      </c>
      <c r="IS90" s="574">
        <f t="shared" si="1285"/>
        <v>1986.0303449999999</v>
      </c>
      <c r="IT90" s="574">
        <f t="shared" si="1285"/>
        <v>1513.0182599999998</v>
      </c>
      <c r="IU90" s="574">
        <f t="shared" si="1285"/>
        <v>798.77901199999997</v>
      </c>
      <c r="IV90" s="574">
        <f t="shared" si="1285"/>
        <v>21825.828687000001</v>
      </c>
      <c r="IW90" s="586">
        <f t="shared" si="1285"/>
        <v>1709.370957254672</v>
      </c>
      <c r="IX90" s="574">
        <f t="shared" si="1285"/>
        <v>2018.2186146097663</v>
      </c>
      <c r="IY90" s="574">
        <f t="shared" si="1285"/>
        <v>2061.7739126339702</v>
      </c>
      <c r="IZ90" s="574">
        <f t="shared" si="1285"/>
        <v>1651.0203778400066</v>
      </c>
      <c r="JA90" s="574">
        <f t="shared" si="1285"/>
        <v>860.98365671893941</v>
      </c>
      <c r="JB90" s="574">
        <f t="shared" si="1285"/>
        <v>23189.455428840225</v>
      </c>
      <c r="JC90" s="586">
        <f t="shared" si="1285"/>
        <v>1631.3567344249097</v>
      </c>
      <c r="JD90" s="574">
        <f t="shared" si="1285"/>
        <v>2207.265418242117</v>
      </c>
      <c r="JE90" s="574">
        <f t="shared" si="1285"/>
        <v>2452.6809244990327</v>
      </c>
      <c r="JF90" s="574">
        <f t="shared" si="1285"/>
        <v>1603.3927009017602</v>
      </c>
      <c r="JG90" s="574">
        <f t="shared" si="1285"/>
        <v>792.195518233538</v>
      </c>
      <c r="JH90" s="587">
        <f t="shared" si="1285"/>
        <v>24036.819642375871</v>
      </c>
      <c r="JJ90" s="171" t="s">
        <v>608</v>
      </c>
      <c r="JK90" s="586">
        <f t="shared" ref="JK90:JV90" si="1286">SUM(JK84:JK87)</f>
        <v>1760.584525</v>
      </c>
      <c r="JL90" s="574">
        <f t="shared" si="1286"/>
        <v>2841.1725040000001</v>
      </c>
      <c r="JM90" s="574">
        <f t="shared" si="1286"/>
        <v>3359.7428059999993</v>
      </c>
      <c r="JN90" s="587">
        <f t="shared" si="1286"/>
        <v>125.37066799999999</v>
      </c>
      <c r="JO90" s="586">
        <f t="shared" si="1286"/>
        <v>1687.2070285415894</v>
      </c>
      <c r="JP90" s="574">
        <f t="shared" si="1286"/>
        <v>2916.2744664545426</v>
      </c>
      <c r="JQ90" s="574">
        <f t="shared" si="1286"/>
        <v>3523.8101276950674</v>
      </c>
      <c r="JR90" s="587">
        <f t="shared" si="1286"/>
        <v>174.07589636615512</v>
      </c>
      <c r="JS90" s="586">
        <f t="shared" si="1286"/>
        <v>1870.6447580125637</v>
      </c>
      <c r="JT90" s="574">
        <f t="shared" si="1286"/>
        <v>3232.0459105610371</v>
      </c>
      <c r="JU90" s="574">
        <f t="shared" si="1286"/>
        <v>3427.6594812939202</v>
      </c>
      <c r="JV90" s="587">
        <f t="shared" si="1286"/>
        <v>156.54114643382471</v>
      </c>
      <c r="JX90" s="171" t="s">
        <v>608</v>
      </c>
      <c r="JY90" s="586">
        <f t="shared" ref="JY90:KB90" si="1287">SUM(JY84:JY87)</f>
        <v>2026.142331713962</v>
      </c>
      <c r="JZ90" s="574">
        <f t="shared" si="1287"/>
        <v>2635.9610700850953</v>
      </c>
      <c r="KA90" s="574">
        <f t="shared" si="1287"/>
        <v>1358.4438684124539</v>
      </c>
      <c r="KB90" s="575">
        <f t="shared" si="1287"/>
        <v>2666.344026089846</v>
      </c>
      <c r="KC90" s="604"/>
      <c r="KD90" s="171" t="s">
        <v>608</v>
      </c>
      <c r="KE90" s="586">
        <f t="shared" ref="KE90:KV90" si="1288">SUM(KE84:KE87)</f>
        <v>33.875287686163368</v>
      </c>
      <c r="KF90" s="574">
        <f t="shared" si="1288"/>
        <v>38.370526050098952</v>
      </c>
      <c r="KG90" s="574">
        <f t="shared" si="1288"/>
        <v>2104.351363125144</v>
      </c>
      <c r="KH90" s="574">
        <f t="shared" si="1288"/>
        <v>3532.8992885923844</v>
      </c>
      <c r="KI90" s="574">
        <f t="shared" si="1288"/>
        <v>1472.5810794855424</v>
      </c>
      <c r="KJ90" s="587">
        <f t="shared" si="1288"/>
        <v>986.92212624103672</v>
      </c>
      <c r="KK90" s="586">
        <f t="shared" si="1288"/>
        <v>7.1909666692765004</v>
      </c>
      <c r="KL90" s="574">
        <f t="shared" si="1288"/>
        <v>3.8952501124764201</v>
      </c>
      <c r="KM90" s="574">
        <f t="shared" si="1288"/>
        <v>61.117505621446199</v>
      </c>
      <c r="KN90" s="574">
        <f t="shared" si="1288"/>
        <v>80.82985667591565</v>
      </c>
      <c r="KO90" s="574">
        <f t="shared" si="1288"/>
        <v>70.427585932925297</v>
      </c>
      <c r="KP90" s="587">
        <f t="shared" si="1288"/>
        <v>9.0423558796996595</v>
      </c>
      <c r="KQ90" s="586">
        <f t="shared" si="1288"/>
        <v>41.066254355439902</v>
      </c>
      <c r="KR90" s="574">
        <f t="shared" si="1288"/>
        <v>42.265776162575371</v>
      </c>
      <c r="KS90" s="574">
        <f t="shared" si="1288"/>
        <v>2232.1018988074647</v>
      </c>
      <c r="KT90" s="574">
        <f t="shared" si="1288"/>
        <v>3660.9279656990825</v>
      </c>
      <c r="KU90" s="574">
        <f t="shared" si="1288"/>
        <v>1605.0000372837603</v>
      </c>
      <c r="KV90" s="587">
        <f t="shared" si="1288"/>
        <v>1014.4582134228501</v>
      </c>
      <c r="KW90" s="429"/>
      <c r="KX90" s="171" t="s">
        <v>608</v>
      </c>
      <c r="KY90" s="586">
        <f t="shared" ref="KY90:LA90" si="1289">SUM(KY84:KY87)</f>
        <v>2459.2847980000006</v>
      </c>
      <c r="KZ90" s="574">
        <f t="shared" si="1289"/>
        <v>4465.8438130000004</v>
      </c>
      <c r="LA90" s="587">
        <f t="shared" si="1289"/>
        <v>1160.7418949999999</v>
      </c>
      <c r="LB90" s="586">
        <f t="shared" ref="LB90:LD90" si="1290">SUM(LB84:LB87)</f>
        <v>2641.1006881363855</v>
      </c>
      <c r="LC90" s="574">
        <f t="shared" si="1290"/>
        <v>4580.2293189253987</v>
      </c>
      <c r="LD90" s="587">
        <f t="shared" si="1290"/>
        <v>1076.0375151216206</v>
      </c>
      <c r="LE90" s="586">
        <f t="shared" ref="LE90:LG90" si="1291">SUM(LE84:LE87)</f>
        <v>2571.6120567879725</v>
      </c>
      <c r="LF90" s="574">
        <f t="shared" si="1291"/>
        <v>5023.5805581290588</v>
      </c>
      <c r="LG90" s="587">
        <f t="shared" si="1291"/>
        <v>1090.6986803689294</v>
      </c>
      <c r="LH90" s="426"/>
      <c r="LI90" s="171" t="s">
        <v>608</v>
      </c>
      <c r="LJ90" s="586">
        <f t="shared" ref="LJ90:MA90" si="1292">SUM(LJ84:LJ87)</f>
        <v>6399.8112929999998</v>
      </c>
      <c r="LK90" s="574">
        <f t="shared" si="1292"/>
        <v>5245.4114099999997</v>
      </c>
      <c r="LL90" s="574">
        <f t="shared" si="1292"/>
        <v>1154.399883</v>
      </c>
      <c r="LM90" s="574">
        <f t="shared" si="1292"/>
        <v>2945.5062330000001</v>
      </c>
      <c r="LN90" s="574">
        <f t="shared" si="1292"/>
        <v>591.75510400000007</v>
      </c>
      <c r="LO90" s="587">
        <f t="shared" si="1292"/>
        <v>590.53507400000001</v>
      </c>
      <c r="LP90" s="586">
        <f t="shared" si="1292"/>
        <v>6773.2906657810836</v>
      </c>
      <c r="LQ90" s="574">
        <f t="shared" si="1292"/>
        <v>5169.3584666785755</v>
      </c>
      <c r="LR90" s="574">
        <f t="shared" si="1292"/>
        <v>1603.9321991025085</v>
      </c>
      <c r="LS90" s="574">
        <f t="shared" si="1292"/>
        <v>2707.6086171777642</v>
      </c>
      <c r="LT90" s="574">
        <f t="shared" si="1292"/>
        <v>618.04718485462831</v>
      </c>
      <c r="LU90" s="587">
        <f t="shared" si="1292"/>
        <v>784.74853867664365</v>
      </c>
      <c r="LV90" s="586">
        <f t="shared" si="1292"/>
        <v>6966.8589032235941</v>
      </c>
      <c r="LW90" s="574">
        <f t="shared" si="1292"/>
        <v>5515.3181498307931</v>
      </c>
      <c r="LX90" s="574">
        <f t="shared" si="1292"/>
        <v>1451.540753392803</v>
      </c>
      <c r="LY90" s="574">
        <f t="shared" si="1292"/>
        <v>2647.8824429812707</v>
      </c>
      <c r="LZ90" s="574">
        <f t="shared" si="1292"/>
        <v>459.864616234403</v>
      </c>
      <c r="MA90" s="587">
        <f t="shared" si="1292"/>
        <v>795.57278551561058</v>
      </c>
      <c r="MC90" s="171" t="s">
        <v>608</v>
      </c>
      <c r="MD90" s="586">
        <f t="shared" ref="MD90:MU90" si="1293">SUM(MD84:MD87)</f>
        <v>0</v>
      </c>
      <c r="ME90" s="574">
        <f t="shared" si="1293"/>
        <v>116.928462</v>
      </c>
      <c r="MF90" s="574">
        <f t="shared" si="1293"/>
        <v>611.85955400000012</v>
      </c>
      <c r="MG90" s="574">
        <f t="shared" si="1293"/>
        <v>1315.6358190000001</v>
      </c>
      <c r="MH90" s="574">
        <f t="shared" si="1293"/>
        <v>1920.8558199999998</v>
      </c>
      <c r="MI90" s="587">
        <f t="shared" si="1293"/>
        <v>1280.1317529999999</v>
      </c>
      <c r="MJ90" s="586">
        <f t="shared" si="1293"/>
        <v>0</v>
      </c>
      <c r="MK90" s="574">
        <f t="shared" si="1293"/>
        <v>128.38414876225178</v>
      </c>
      <c r="ML90" s="574">
        <f t="shared" si="1293"/>
        <v>708.35323133649536</v>
      </c>
      <c r="MM90" s="574">
        <f t="shared" si="1293"/>
        <v>1241.7601799717559</v>
      </c>
      <c r="MN90" s="574">
        <f t="shared" si="1293"/>
        <v>1842.596667223575</v>
      </c>
      <c r="MO90" s="587">
        <f t="shared" si="1293"/>
        <v>1229.2642542332385</v>
      </c>
      <c r="MP90" s="586">
        <f t="shared" si="1293"/>
        <v>4.6666948134838595</v>
      </c>
      <c r="MQ90" s="574">
        <f t="shared" si="1293"/>
        <v>176.74452374974967</v>
      </c>
      <c r="MR90" s="574">
        <f t="shared" si="1293"/>
        <v>827.01253962960425</v>
      </c>
      <c r="MS90" s="574">
        <f t="shared" si="1293"/>
        <v>1512.437067162318</v>
      </c>
      <c r="MT90" s="574">
        <f t="shared" si="1293"/>
        <v>1735.1057113164011</v>
      </c>
      <c r="MU90" s="587">
        <f t="shared" si="1293"/>
        <v>1231.3515847284541</v>
      </c>
      <c r="MW90" s="171" t="s">
        <v>608</v>
      </c>
      <c r="MX90" s="586">
        <f t="shared" ref="MX90:NF90" si="1294">SUM(MX84:MX87)</f>
        <v>5273.4909369999996</v>
      </c>
      <c r="MY90" s="574">
        <f t="shared" si="1294"/>
        <v>5047.2251210000004</v>
      </c>
      <c r="MZ90" s="574">
        <f t="shared" si="1294"/>
        <v>226.265815</v>
      </c>
      <c r="NA90" s="586">
        <f t="shared" si="1294"/>
        <v>5219.9183732714828</v>
      </c>
      <c r="NB90" s="574">
        <f t="shared" si="1294"/>
        <v>4972.0672690981692</v>
      </c>
      <c r="NC90" s="587">
        <f t="shared" si="1294"/>
        <v>247.85110417331447</v>
      </c>
      <c r="ND90" s="586">
        <f t="shared" si="1294"/>
        <v>5571.8368981027179</v>
      </c>
      <c r="NE90" s="574">
        <f t="shared" si="1294"/>
        <v>5297.6736273270881</v>
      </c>
      <c r="NF90" s="587">
        <f t="shared" si="1294"/>
        <v>274.16327077562823</v>
      </c>
      <c r="NH90" s="171" t="s">
        <v>608</v>
      </c>
      <c r="NI90" s="586">
        <f t="shared" ref="NI90:NR90" si="1295">SUM(NI84:NI87)</f>
        <v>3923.1786442418584</v>
      </c>
      <c r="NJ90" s="587">
        <f t="shared" si="1295"/>
        <v>1048.8886248563103</v>
      </c>
      <c r="NK90" s="586">
        <f t="shared" si="1295"/>
        <v>171.74906059309183</v>
      </c>
      <c r="NL90" s="574">
        <f t="shared" si="1295"/>
        <v>63.364732636240859</v>
      </c>
      <c r="NM90" s="587">
        <f t="shared" si="1295"/>
        <v>12.73731094398179</v>
      </c>
      <c r="NN90" s="586">
        <f t="shared" si="1295"/>
        <v>4089.0209806489729</v>
      </c>
      <c r="NO90" s="587">
        <f t="shared" si="1295"/>
        <v>1208.6526466781165</v>
      </c>
      <c r="NP90" s="586">
        <f t="shared" si="1295"/>
        <v>172.33722926531993</v>
      </c>
      <c r="NQ90" s="574">
        <f t="shared" si="1295"/>
        <v>99.57926488125608</v>
      </c>
      <c r="NR90" s="587">
        <f t="shared" si="1295"/>
        <v>2.2467766290526701</v>
      </c>
      <c r="NS90" s="136"/>
      <c r="NT90" s="171" t="s">
        <v>608</v>
      </c>
      <c r="NU90" s="584">
        <f t="shared" ref="NU90:OB90" si="1296">SUM(NU84:NU87)</f>
        <v>557.354416556243</v>
      </c>
      <c r="NV90" s="573">
        <f t="shared" si="1296"/>
        <v>173.59839351884156</v>
      </c>
      <c r="NW90" s="573">
        <f t="shared" si="1296"/>
        <v>43.772090210437092</v>
      </c>
      <c r="NX90" s="585">
        <f t="shared" si="1296"/>
        <v>274.16372457078853</v>
      </c>
      <c r="NY90" s="584">
        <f t="shared" si="1296"/>
        <v>692.38825237051083</v>
      </c>
      <c r="NZ90" s="573">
        <f t="shared" si="1296"/>
        <v>198.01753498909281</v>
      </c>
      <c r="OA90" s="573">
        <f t="shared" si="1296"/>
        <v>16.194438409094211</v>
      </c>
      <c r="OB90" s="585">
        <f t="shared" si="1296"/>
        <v>302.05242090941874</v>
      </c>
      <c r="OC90" s="553"/>
      <c r="OD90" s="171" t="s">
        <v>608</v>
      </c>
      <c r="OE90" s="586">
        <f t="shared" ref="OE90:OR90" si="1297">SUM(OE84:OE87)</f>
        <v>390.61256756153239</v>
      </c>
      <c r="OF90" s="574">
        <f t="shared" si="1297"/>
        <v>524.48477539967348</v>
      </c>
      <c r="OG90" s="574">
        <f t="shared" si="1297"/>
        <v>427.9076192867804</v>
      </c>
      <c r="OH90" s="574">
        <f t="shared" si="1297"/>
        <v>341.51234939862451</v>
      </c>
      <c r="OI90" s="574">
        <f t="shared" si="1297"/>
        <v>2766.2931942750588</v>
      </c>
      <c r="OJ90" s="574">
        <f t="shared" si="1297"/>
        <v>339.33898085310886</v>
      </c>
      <c r="OK90" s="587">
        <f t="shared" si="1297"/>
        <v>236.61603460804906</v>
      </c>
      <c r="OL90" s="586">
        <f t="shared" si="1297"/>
        <v>591.38001955672348</v>
      </c>
      <c r="OM90" s="574">
        <f t="shared" si="1297"/>
        <v>569.91754456699891</v>
      </c>
      <c r="ON90" s="574">
        <f t="shared" si="1297"/>
        <v>431.14228226075943</v>
      </c>
      <c r="OO90" s="574">
        <f t="shared" si="1297"/>
        <v>354.18031879586289</v>
      </c>
      <c r="OP90" s="574">
        <f t="shared" si="1297"/>
        <v>3549.6039035989916</v>
      </c>
      <c r="OQ90" s="574">
        <f t="shared" si="1297"/>
        <v>1479.5122475584376</v>
      </c>
      <c r="OR90" s="587">
        <f t="shared" si="1297"/>
        <v>7819.5855401968629</v>
      </c>
      <c r="OT90" s="171" t="s">
        <v>608</v>
      </c>
      <c r="OU90" s="586">
        <f t="shared" ref="OU90:PF90" si="1298">SUM(OU84:OU87)</f>
        <v>3118.696281</v>
      </c>
      <c r="OV90" s="574">
        <f t="shared" si="1298"/>
        <v>2249.9173759999999</v>
      </c>
      <c r="OW90" s="574">
        <f t="shared" si="1298"/>
        <v>1535.891335</v>
      </c>
      <c r="OX90" s="587">
        <f t="shared" si="1298"/>
        <v>2078.4466040000002</v>
      </c>
      <c r="OY90" s="586">
        <f t="shared" si="1298"/>
        <v>2741.597761311948</v>
      </c>
      <c r="OZ90" s="574">
        <f t="shared" si="1298"/>
        <v>2294.4456783122077</v>
      </c>
      <c r="PA90" s="574">
        <f t="shared" si="1298"/>
        <v>1728.4773139718498</v>
      </c>
      <c r="PB90" s="587">
        <f t="shared" si="1298"/>
        <v>2642.6479851910335</v>
      </c>
      <c r="PC90" s="586">
        <f t="shared" si="1298"/>
        <v>2342.6721165579615</v>
      </c>
      <c r="PD90" s="574">
        <f t="shared" si="1298"/>
        <v>2395.0527045855902</v>
      </c>
      <c r="PE90" s="574">
        <f t="shared" si="1298"/>
        <v>1837.4196639868371</v>
      </c>
      <c r="PF90" s="587">
        <f t="shared" si="1298"/>
        <v>2943.9769658849118</v>
      </c>
      <c r="PH90" s="171" t="s">
        <v>608</v>
      </c>
      <c r="PI90" s="586">
        <f t="shared" ref="PI90:PP90" si="1299">SUM(PI84:PI87)</f>
        <v>982.85253689878323</v>
      </c>
      <c r="PJ90" s="574">
        <f t="shared" si="1299"/>
        <v>1188.9740922257149</v>
      </c>
      <c r="PK90" s="574">
        <f t="shared" si="1299"/>
        <v>851.56574025013151</v>
      </c>
      <c r="PL90" s="587">
        <f t="shared" si="1299"/>
        <v>1451.0917457003277</v>
      </c>
      <c r="PM90" s="586">
        <f t="shared" si="1299"/>
        <v>1359.8195796591767</v>
      </c>
      <c r="PN90" s="574">
        <f t="shared" si="1299"/>
        <v>1206.0786123598721</v>
      </c>
      <c r="PO90" s="574">
        <f t="shared" si="1299"/>
        <v>985.85392373670697</v>
      </c>
      <c r="PP90" s="587">
        <f t="shared" si="1299"/>
        <v>1492.8852201845839</v>
      </c>
      <c r="PQ90" s="65"/>
      <c r="PR90" s="1030" t="s">
        <v>608</v>
      </c>
      <c r="PS90" s="1041">
        <f t="shared" ref="PS90:PW90" si="1300">SUM(PS84:PS87)</f>
        <v>137.46516229308654</v>
      </c>
      <c r="PT90" s="1042">
        <f t="shared" si="1300"/>
        <v>381.33045044938439</v>
      </c>
      <c r="PU90" s="1042">
        <f t="shared" si="1300"/>
        <v>265.12639778893379</v>
      </c>
      <c r="PV90" s="1042">
        <f t="shared" si="1300"/>
        <v>72.641976915620404</v>
      </c>
      <c r="PW90" s="1042">
        <f t="shared" si="1300"/>
        <v>3426.1997816502108</v>
      </c>
      <c r="PX90" s="1043">
        <f t="shared" ref="PX90" si="1301">SUM(PX84:PX87)</f>
        <v>1261.0731005746991</v>
      </c>
      <c r="PZ90" s="1030" t="s">
        <v>608</v>
      </c>
      <c r="QA90" s="1041">
        <f t="shared" ref="QA90:QF90" si="1302">SUM(QA84:QA87)</f>
        <v>3445.0566456617621</v>
      </c>
      <c r="QB90" s="1042">
        <f t="shared" si="1302"/>
        <v>2126.7802524409562</v>
      </c>
      <c r="QC90" s="1042">
        <f t="shared" si="1302"/>
        <v>1795.3020727753301</v>
      </c>
      <c r="QD90" s="1042">
        <f t="shared" ref="QD90" si="1303">SUM(QD84:QD87)</f>
        <v>145.07638503978529</v>
      </c>
      <c r="QE90" s="1042">
        <f t="shared" si="1302"/>
        <v>183.24017682668611</v>
      </c>
      <c r="QF90" s="1043">
        <f t="shared" si="1302"/>
        <v>3.1616177991521899</v>
      </c>
    </row>
    <row r="91" spans="1:448" ht="13.5" customHeight="1">
      <c r="A91" s="136"/>
      <c r="B91" s="560" t="s">
        <v>0</v>
      </c>
      <c r="C91" s="600">
        <f>C88+C89+C90</f>
        <v>135217.99999799998</v>
      </c>
      <c r="D91" s="600">
        <f>D88+D89+D90</f>
        <v>136125</v>
      </c>
      <c r="E91" s="610">
        <f>E88+E89+E90</f>
        <v>137849.99999999997</v>
      </c>
      <c r="F91" s="136"/>
      <c r="G91" s="560" t="s">
        <v>0</v>
      </c>
      <c r="H91" s="679">
        <f t="shared" si="447"/>
        <v>1.3379523459169373E-3</v>
      </c>
      <c r="I91" s="801">
        <f t="shared" si="448"/>
        <v>2.521685356898562E-3</v>
      </c>
      <c r="J91" s="680"/>
      <c r="K91" s="63"/>
      <c r="L91" s="560" t="s">
        <v>689</v>
      </c>
      <c r="M91" s="697">
        <v>1591</v>
      </c>
      <c r="N91" s="600">
        <v>1659</v>
      </c>
      <c r="O91" s="600">
        <v>1580</v>
      </c>
      <c r="P91" s="600">
        <v>1622</v>
      </c>
      <c r="Q91" s="600">
        <v>1587</v>
      </c>
      <c r="R91" s="600">
        <v>1583</v>
      </c>
      <c r="S91" s="600">
        <v>1610</v>
      </c>
      <c r="T91" s="600">
        <v>1538</v>
      </c>
      <c r="U91" s="598">
        <v>1492</v>
      </c>
      <c r="V91" s="598">
        <v>1336</v>
      </c>
      <c r="W91" s="599">
        <v>1462</v>
      </c>
      <c r="X91" s="560" t="s">
        <v>689</v>
      </c>
      <c r="Y91" s="664">
        <v>1625</v>
      </c>
      <c r="Z91" s="678">
        <v>1601</v>
      </c>
      <c r="AA91" s="678">
        <v>1585</v>
      </c>
      <c r="AB91" s="678">
        <v>1574</v>
      </c>
      <c r="AC91" s="1210">
        <v>1574</v>
      </c>
      <c r="AD91" s="578">
        <v>-1.4769230769230769E-2</v>
      </c>
      <c r="AE91" s="578">
        <v>-9.9937539038101181E-3</v>
      </c>
      <c r="AF91" s="578">
        <v>-6.9400630914826502E-3</v>
      </c>
      <c r="AG91" s="804">
        <v>-9.9937539038101181E-3</v>
      </c>
      <c r="AJ91" s="429"/>
      <c r="AN91" s="560" t="s">
        <v>0</v>
      </c>
      <c r="AO91" s="632">
        <f>AO88+AO89+AO90</f>
        <v>43.069868999999997</v>
      </c>
      <c r="AP91" s="600">
        <f t="shared" ref="AP91:AV91" si="1304">AP88+AP89+AP90</f>
        <v>2386.5938219999998</v>
      </c>
      <c r="AQ91" s="600">
        <f t="shared" si="1304"/>
        <v>11160.64669</v>
      </c>
      <c r="AR91" s="600">
        <f t="shared" si="1304"/>
        <v>17056.699046000002</v>
      </c>
      <c r="AS91" s="600">
        <f t="shared" si="1304"/>
        <v>19565.399850000002</v>
      </c>
      <c r="AT91" s="600">
        <f t="shared" si="1304"/>
        <v>12715.565733000001</v>
      </c>
      <c r="AU91" s="600">
        <f t="shared" si="1304"/>
        <v>27210.203960999999</v>
      </c>
      <c r="AV91" s="633">
        <f t="shared" si="1304"/>
        <v>26336.411839</v>
      </c>
      <c r="AW91" s="632">
        <f>AW88+AW89+AW90</f>
        <v>17.539126887694181</v>
      </c>
      <c r="AX91" s="600">
        <f t="shared" ref="AX91:BE91" si="1305">AX88+AX89+AX90</f>
        <v>2611.1540448216606</v>
      </c>
      <c r="AY91" s="600">
        <f t="shared" si="1305"/>
        <v>12660.072394600071</v>
      </c>
      <c r="AZ91" s="600">
        <f t="shared" si="1305"/>
        <v>16353.889229831808</v>
      </c>
      <c r="BA91" s="600">
        <f t="shared" si="1305"/>
        <v>18896.745174508927</v>
      </c>
      <c r="BB91" s="600">
        <f t="shared" si="1305"/>
        <v>12247.232138888498</v>
      </c>
      <c r="BC91" s="600">
        <f t="shared" si="1305"/>
        <v>27544.792234707547</v>
      </c>
      <c r="BD91" s="633">
        <f t="shared" si="1305"/>
        <v>25831.37808758004</v>
      </c>
      <c r="BE91" s="632">
        <f t="shared" si="1305"/>
        <v>34.792845350120594</v>
      </c>
      <c r="BF91" s="600">
        <f t="shared" ref="BF91" si="1306">BF88+BF89+BF90</f>
        <v>2741.9177884989517</v>
      </c>
      <c r="BG91" s="600">
        <f t="shared" ref="BG91" si="1307">BG88+BG89+BG90</f>
        <v>13581.341444086394</v>
      </c>
      <c r="BH91" s="600">
        <f t="shared" ref="BH91" si="1308">BH88+BH89+BH90</f>
        <v>17701.169054777274</v>
      </c>
      <c r="BI91" s="600">
        <f t="shared" ref="BI91" si="1309">BI88+BI89+BI90</f>
        <v>19033.160406192641</v>
      </c>
      <c r="BJ91" s="600">
        <f t="shared" ref="BJ91" si="1310">BJ88+BJ89+BJ90</f>
        <v>11267.317077905669</v>
      </c>
      <c r="BK91" s="600">
        <f t="shared" ref="BK91" si="1311">BK88+BK89+BK90</f>
        <v>27143.774175754355</v>
      </c>
      <c r="BL91" s="633">
        <f t="shared" ref="BL91" si="1312">BL88+BL89+BL90</f>
        <v>26756.402161347647</v>
      </c>
      <c r="BN91" s="560" t="s">
        <v>0</v>
      </c>
      <c r="BO91" s="697">
        <f t="shared" ref="BO91:BT91" si="1313">BO88+BO89+BO90</f>
        <v>18788.409133000001</v>
      </c>
      <c r="BP91" s="600">
        <f t="shared" si="1313"/>
        <v>41203.564195000006</v>
      </c>
      <c r="BQ91" s="600">
        <f t="shared" si="1313"/>
        <v>24298.557165000002</v>
      </c>
      <c r="BR91" s="600">
        <f t="shared" si="1313"/>
        <v>21994.451350000003</v>
      </c>
      <c r="BS91" s="600">
        <f t="shared" si="1313"/>
        <v>15661.081103999999</v>
      </c>
      <c r="BT91" s="600">
        <f t="shared" si="1313"/>
        <v>13271.937052000001</v>
      </c>
      <c r="BU91" s="697">
        <f t="shared" ref="BU91:BZ91" si="1314">BU88+BU89+BU90</f>
        <v>19959.197570518278</v>
      </c>
      <c r="BV91" s="600">
        <f t="shared" si="1314"/>
        <v>39562.646333923614</v>
      </c>
      <c r="BW91" s="600">
        <f t="shared" si="1314"/>
        <v>24284.13343222356</v>
      </c>
      <c r="BX91" s="600">
        <f t="shared" si="1314"/>
        <v>21162.099389813386</v>
      </c>
      <c r="BY91" s="600">
        <f t="shared" si="1314"/>
        <v>16914.273492544187</v>
      </c>
      <c r="BZ91" s="698">
        <f t="shared" si="1314"/>
        <v>14242.649780976964</v>
      </c>
      <c r="CA91" s="653">
        <f t="shared" ref="CA91:CF91" si="1315">CA88+CA89+CA90</f>
        <v>19589.12504507156</v>
      </c>
      <c r="CB91" s="600">
        <f t="shared" si="1315"/>
        <v>40220.218384588268</v>
      </c>
      <c r="CC91" s="600">
        <f t="shared" si="1315"/>
        <v>24625.658672825637</v>
      </c>
      <c r="CD91" s="600">
        <f t="shared" si="1315"/>
        <v>21336.246538142495</v>
      </c>
      <c r="CE91" s="600">
        <f t="shared" si="1315"/>
        <v>18272.590233931689</v>
      </c>
      <c r="CF91" s="654">
        <f t="shared" si="1315"/>
        <v>13806.161125440356</v>
      </c>
      <c r="CG91" s="429"/>
      <c r="CH91" s="560" t="s">
        <v>0</v>
      </c>
      <c r="CI91" s="131">
        <f t="shared" ref="CI91:CK91" si="1316">CI88+CI89+CI90</f>
        <v>30526.776996000001</v>
      </c>
      <c r="CJ91" s="483">
        <f t="shared" si="1316"/>
        <v>81801.037442999979</v>
      </c>
      <c r="CK91" s="483">
        <f t="shared" si="1316"/>
        <v>22890.185569000001</v>
      </c>
      <c r="CL91" s="653">
        <f t="shared" ref="CL91:CN91" si="1317">CL88+CL89+CL90</f>
        <v>31650.0531747813</v>
      </c>
      <c r="CM91" s="600">
        <f t="shared" si="1317"/>
        <v>80159.162989334654</v>
      </c>
      <c r="CN91" s="600">
        <f t="shared" si="1317"/>
        <v>24315.783835884053</v>
      </c>
      <c r="CO91" s="653">
        <f t="shared" ref="CO91:CQ91" si="1318">CO88+CO89+CO90</f>
        <v>31918.150031006255</v>
      </c>
      <c r="CP91" s="600">
        <f t="shared" si="1318"/>
        <v>80224.622662890542</v>
      </c>
      <c r="CQ91" s="654">
        <f t="shared" si="1318"/>
        <v>25707.227306103196</v>
      </c>
      <c r="CR91" s="429"/>
      <c r="CS91" s="426"/>
      <c r="CT91" s="426"/>
      <c r="CU91" s="426"/>
      <c r="CV91" s="426"/>
      <c r="CW91" s="426"/>
      <c r="CX91" s="426"/>
      <c r="CY91" s="426"/>
      <c r="CZ91" s="426"/>
      <c r="DA91" s="426"/>
      <c r="DG91" s="560" t="s">
        <v>0</v>
      </c>
      <c r="DH91" s="1196">
        <v>47</v>
      </c>
      <c r="DI91" s="598">
        <v>20</v>
      </c>
      <c r="DJ91" s="598">
        <v>20640</v>
      </c>
      <c r="DK91" s="598">
        <v>10420</v>
      </c>
      <c r="DL91" s="598">
        <v>38460</v>
      </c>
      <c r="DM91" s="1195">
        <v>3.7</v>
      </c>
      <c r="DO91" s="560" t="s">
        <v>0</v>
      </c>
      <c r="DP91" s="600">
        <f t="shared" ref="DP91:DR91" si="1319">DP88+DP89+DP90</f>
        <v>72530.205828000006</v>
      </c>
      <c r="DQ91" s="598">
        <f t="shared" si="1319"/>
        <v>73131.191503709299</v>
      </c>
      <c r="DR91" s="599">
        <f t="shared" si="1319"/>
        <v>76489.646186695172</v>
      </c>
      <c r="DS91" s="63"/>
      <c r="DT91" s="560" t="s">
        <v>0</v>
      </c>
      <c r="DU91" s="131">
        <f t="shared" ref="DU91:DW91" si="1320">DU88+DU89+DU90</f>
        <v>130155.006179</v>
      </c>
      <c r="DV91" s="483">
        <f t="shared" si="1320"/>
        <v>131068.0039521099</v>
      </c>
      <c r="DW91" s="698">
        <f t="shared" si="1320"/>
        <v>133009.99508553653</v>
      </c>
      <c r="DX91" s="63"/>
      <c r="DY91" s="560" t="s">
        <v>0</v>
      </c>
      <c r="DZ91" s="730">
        <f t="shared" si="410"/>
        <v>1.7944938207903742</v>
      </c>
      <c r="EA91" s="729">
        <f t="shared" si="411"/>
        <v>1.7922312115680759</v>
      </c>
      <c r="EB91" s="731">
        <f t="shared" si="412"/>
        <v>1.7389280996396173</v>
      </c>
      <c r="EC91" s="429"/>
      <c r="ED91" s="541"/>
      <c r="EE91" s="560" t="s">
        <v>0</v>
      </c>
      <c r="EF91" s="131">
        <f t="shared" ref="EF91:EJ91" si="1321">EF88+EF89+EF90</f>
        <v>38796.230398</v>
      </c>
      <c r="EG91" s="483">
        <f t="shared" si="1321"/>
        <v>2502.644667</v>
      </c>
      <c r="EH91" s="483">
        <f t="shared" si="1321"/>
        <v>15043.645185000001</v>
      </c>
      <c r="EI91" s="483">
        <f t="shared" si="1321"/>
        <v>10481.630684</v>
      </c>
      <c r="EJ91" s="484">
        <f t="shared" si="1321"/>
        <v>5706.054889</v>
      </c>
      <c r="EK91" s="697">
        <f t="shared" ref="EK91:EO91" si="1322">EK88+EK89+EK90</f>
        <v>39661.890104842969</v>
      </c>
      <c r="EL91" s="600">
        <f t="shared" si="1322"/>
        <v>2403.9902715299686</v>
      </c>
      <c r="EM91" s="600">
        <f t="shared" si="1322"/>
        <v>14525.778597829043</v>
      </c>
      <c r="EN91" s="600">
        <f t="shared" si="1322"/>
        <v>10296.269667356477</v>
      </c>
      <c r="EO91" s="698">
        <f t="shared" si="1322"/>
        <v>6243.2628621508375</v>
      </c>
      <c r="EP91" s="697">
        <f t="shared" ref="EP91:ET91" si="1323">EP88+EP89+EP90</f>
        <v>43667.554718803352</v>
      </c>
      <c r="EQ91" s="600">
        <f t="shared" si="1323"/>
        <v>2184.1026065923029</v>
      </c>
      <c r="ER91" s="600">
        <f t="shared" si="1323"/>
        <v>14148.573261937821</v>
      </c>
      <c r="ES91" s="600">
        <f t="shared" si="1323"/>
        <v>9845.1201021469478</v>
      </c>
      <c r="ET91" s="698">
        <f t="shared" si="1323"/>
        <v>6644.2954972147454</v>
      </c>
      <c r="EU91" s="429"/>
      <c r="EV91" s="560" t="s">
        <v>0</v>
      </c>
      <c r="EW91" s="131">
        <f t="shared" ref="EW91:FD91" si="1324">EW88+EW89+EW90</f>
        <v>10899.375426999999</v>
      </c>
      <c r="EX91" s="483">
        <f t="shared" si="1324"/>
        <v>14072.857247</v>
      </c>
      <c r="EY91" s="483">
        <f t="shared" si="1324"/>
        <v>9714.3447610000003</v>
      </c>
      <c r="EZ91" s="483">
        <f t="shared" si="1324"/>
        <v>4105.732129</v>
      </c>
      <c r="FA91" s="131">
        <f t="shared" si="1324"/>
        <v>26748.762220000004</v>
      </c>
      <c r="FB91" s="483">
        <f t="shared" si="1324"/>
        <v>49782.545545000001</v>
      </c>
      <c r="FC91" s="483">
        <f t="shared" si="1324"/>
        <v>27647.299063999992</v>
      </c>
      <c r="FD91" s="483">
        <f t="shared" si="1324"/>
        <v>7346.9900199999993</v>
      </c>
      <c r="FE91" s="697">
        <f t="shared" ref="FE91:FL91" si="1325">FE88+FE89+FE90</f>
        <v>10611.100848900536</v>
      </c>
      <c r="FF91" s="600">
        <f t="shared" si="1325"/>
        <v>14077.018960728474</v>
      </c>
      <c r="FG91" s="600">
        <f t="shared" si="1325"/>
        <v>10185.371377607917</v>
      </c>
      <c r="FH91" s="600">
        <f t="shared" si="1325"/>
        <v>4787.398918387561</v>
      </c>
      <c r="FI91" s="697">
        <f t="shared" si="1325"/>
        <v>25497.515760377857</v>
      </c>
      <c r="FJ91" s="600">
        <f t="shared" si="1325"/>
        <v>49239.403359997123</v>
      </c>
      <c r="FK91" s="600">
        <f t="shared" si="1325"/>
        <v>27971.814316877815</v>
      </c>
      <c r="FL91" s="600">
        <f t="shared" si="1325"/>
        <v>8584.0728005404617</v>
      </c>
      <c r="FM91" s="697">
        <f t="shared" ref="FM91:FT91" si="1326">FM88+FM89+FM90</f>
        <v>11475.402051564934</v>
      </c>
      <c r="FN91" s="600">
        <f t="shared" si="1326"/>
        <v>15596.115547569341</v>
      </c>
      <c r="FO91" s="600">
        <f t="shared" si="1326"/>
        <v>11825.053618712995</v>
      </c>
      <c r="FP91" s="600">
        <f t="shared" si="1326"/>
        <v>4761.9853607966479</v>
      </c>
      <c r="FQ91" s="697">
        <f t="shared" si="1326"/>
        <v>26109.359000753411</v>
      </c>
      <c r="FR91" s="600">
        <f t="shared" si="1326"/>
        <v>49997.920569900576</v>
      </c>
      <c r="FS91" s="600">
        <f t="shared" si="1326"/>
        <v>29040.218084875007</v>
      </c>
      <c r="FT91" s="698">
        <f t="shared" si="1326"/>
        <v>8389.3725027206419</v>
      </c>
      <c r="FV91" s="560" t="s">
        <v>0</v>
      </c>
      <c r="FW91" s="131">
        <f t="shared" ref="FW91:GH91" si="1327">FW88+FW89+FW90</f>
        <v>16232.228262000001</v>
      </c>
      <c r="FX91" s="483">
        <f t="shared" si="1327"/>
        <v>7310.0639300000012</v>
      </c>
      <c r="FY91" s="483">
        <f t="shared" si="1327"/>
        <v>5246.3911550000003</v>
      </c>
      <c r="FZ91" s="484">
        <f t="shared" si="1327"/>
        <v>2532.7242460000002</v>
      </c>
      <c r="GA91" s="131">
        <f t="shared" si="1327"/>
        <v>15827.531637561402</v>
      </c>
      <c r="GB91" s="483">
        <f t="shared" si="1327"/>
        <v>7181.1231779799155</v>
      </c>
      <c r="GC91" s="483">
        <f t="shared" si="1327"/>
        <v>5375.0347426235203</v>
      </c>
      <c r="GD91" s="484">
        <f t="shared" si="1327"/>
        <v>2782.2314993717268</v>
      </c>
      <c r="GE91" s="131">
        <f t="shared" si="1327"/>
        <v>15608.742700948682</v>
      </c>
      <c r="GF91" s="483">
        <f t="shared" si="1327"/>
        <v>7071.1578224999294</v>
      </c>
      <c r="GG91" s="483">
        <f t="shared" si="1327"/>
        <v>5339.494250984485</v>
      </c>
      <c r="GH91" s="484">
        <f t="shared" si="1327"/>
        <v>2710.0891836473802</v>
      </c>
      <c r="GJ91" s="560" t="s">
        <v>0</v>
      </c>
      <c r="GK91" s="600">
        <f t="shared" ref="GK91:GM91" si="1328">GK88+GK89+GK90</f>
        <v>79551.91150799999</v>
      </c>
      <c r="GL91" s="600">
        <f t="shared" si="1328"/>
        <v>82636.942846998121</v>
      </c>
      <c r="GM91" s="698">
        <f t="shared" si="1328"/>
        <v>88662.077664331155</v>
      </c>
      <c r="GO91" s="560" t="s">
        <v>0</v>
      </c>
      <c r="GP91" s="697">
        <f t="shared" ref="GP91:GX91" si="1329">GP88+GP89+GP90</f>
        <v>72528.205833</v>
      </c>
      <c r="GQ91" s="600">
        <f t="shared" si="1329"/>
        <v>1441.933777</v>
      </c>
      <c r="GR91" s="698">
        <f t="shared" si="1329"/>
        <v>5581.7718989999994</v>
      </c>
      <c r="GS91" s="697">
        <f t="shared" si="1329"/>
        <v>73131.191503709299</v>
      </c>
      <c r="GT91" s="600">
        <f t="shared" si="1329"/>
        <v>1778.0523842166585</v>
      </c>
      <c r="GU91" s="698">
        <f t="shared" si="1329"/>
        <v>7727.6989590721651</v>
      </c>
      <c r="GV91" s="697">
        <f t="shared" si="1329"/>
        <v>76487.646184664394</v>
      </c>
      <c r="GW91" s="600">
        <f t="shared" si="1329"/>
        <v>3186.0945538580481</v>
      </c>
      <c r="GX91" s="698">
        <f t="shared" si="1329"/>
        <v>8988.3369258087223</v>
      </c>
      <c r="GZ91" s="560" t="s">
        <v>0</v>
      </c>
      <c r="HA91" s="131">
        <f t="shared" ref="HA91:HI91" si="1330">HA88+HA89+HA90</f>
        <v>16879.252376</v>
      </c>
      <c r="HB91" s="483">
        <f t="shared" si="1330"/>
        <v>61873.273439999997</v>
      </c>
      <c r="HC91" s="484">
        <f t="shared" si="1330"/>
        <v>799.38569199999972</v>
      </c>
      <c r="HD91" s="131">
        <f t="shared" si="1330"/>
        <v>17153.172177896256</v>
      </c>
      <c r="HE91" s="483">
        <f t="shared" si="1330"/>
        <v>64550.83155737225</v>
      </c>
      <c r="HF91" s="484">
        <f t="shared" si="1330"/>
        <v>932.93911172961009</v>
      </c>
      <c r="HG91" s="131">
        <f t="shared" si="1330"/>
        <v>16771.330424501884</v>
      </c>
      <c r="HH91" s="483">
        <f t="shared" si="1330"/>
        <v>70936.738271508104</v>
      </c>
      <c r="HI91" s="484">
        <f t="shared" si="1330"/>
        <v>954.00896832118156</v>
      </c>
      <c r="HK91" s="560" t="s">
        <v>0</v>
      </c>
      <c r="HL91" s="600">
        <f t="shared" ref="HL91:HO91" si="1331">HL88+HL89+HL90</f>
        <v>72528.205833</v>
      </c>
      <c r="HM91" s="600">
        <f t="shared" ref="HM91" si="1332">HM88+HM89+HM90</f>
        <v>229106.57099899996</v>
      </c>
      <c r="HN91" s="731">
        <f t="shared" si="477"/>
        <v>3.1588616920502606</v>
      </c>
      <c r="HO91" s="697">
        <f t="shared" si="1331"/>
        <v>73131.191503709299</v>
      </c>
      <c r="HP91" s="600">
        <f t="shared" ref="HP91" si="1333">HP88+HP89+HP90</f>
        <v>231083.95978967557</v>
      </c>
      <c r="HQ91" s="731">
        <f t="shared" si="479"/>
        <v>3.159854981686641</v>
      </c>
      <c r="HR91" s="600">
        <f>HR88+HR89+HR90</f>
        <v>76487.646184664394</v>
      </c>
      <c r="HS91" s="600">
        <f>HS88+HS89+HS90</f>
        <v>238257.84439835045</v>
      </c>
      <c r="HT91" s="785">
        <f t="shared" si="480"/>
        <v>3.11498465808614</v>
      </c>
      <c r="HV91" s="560" t="s">
        <v>0</v>
      </c>
      <c r="HW91" s="131">
        <f>HW88+HW89+HW90</f>
        <v>15911.770064000002</v>
      </c>
      <c r="HX91" s="483">
        <f>HX88+HX89+HX90</f>
        <v>76420.442756999983</v>
      </c>
      <c r="HY91" s="729">
        <f t="shared" si="481"/>
        <v>4.8027618831609065</v>
      </c>
      <c r="HZ91" s="600">
        <f>HZ88+HZ89+HZ90</f>
        <v>55861.606967999993</v>
      </c>
      <c r="IA91" s="600">
        <f>IA88+IA89+IA90</f>
        <v>151393.97358299998</v>
      </c>
      <c r="IB91" s="729">
        <f t="shared" si="482"/>
        <v>2.7101614471944062</v>
      </c>
      <c r="IC91" s="131">
        <f>IC88+IC89+IC90</f>
        <v>15890.761480978239</v>
      </c>
      <c r="ID91" s="483">
        <f>ID88+ID89+ID90</f>
        <v>76033.353108791955</v>
      </c>
      <c r="IE91" s="729">
        <f t="shared" si="483"/>
        <v>4.7847520208396785</v>
      </c>
      <c r="IF91" s="600">
        <f>IF88+IF89+IF90</f>
        <v>56391.923363242226</v>
      </c>
      <c r="IG91" s="600">
        <f>IG88+IG89+IG90</f>
        <v>153683.60293842584</v>
      </c>
      <c r="IH91" s="795">
        <f t="shared" si="126"/>
        <v>2.725276844141141</v>
      </c>
      <c r="II91" s="697">
        <f>II88+II89+II90</f>
        <v>15373.130775942736</v>
      </c>
      <c r="IJ91" s="600">
        <f>IJ88+IJ89+IJ90</f>
        <v>74326.113138145025</v>
      </c>
      <c r="IK91" s="729">
        <f t="shared" si="484"/>
        <v>4.8348065349484468</v>
      </c>
      <c r="IL91" s="600">
        <f>IL88+IL89+IL90</f>
        <v>60383.651079522213</v>
      </c>
      <c r="IM91" s="600">
        <f>IM88+IM89+IM90</f>
        <v>162759.29223574488</v>
      </c>
      <c r="IN91" s="731">
        <f t="shared" si="485"/>
        <v>2.6954198582891111</v>
      </c>
      <c r="IP91" s="560" t="s">
        <v>0</v>
      </c>
      <c r="IQ91" s="131">
        <f>IQ88+IQ89+IQ90</f>
        <v>12096.864239</v>
      </c>
      <c r="IR91" s="483">
        <f t="shared" ref="IR91:JH91" si="1334">IR88+IR89+IR90</f>
        <v>15087.452228</v>
      </c>
      <c r="IS91" s="483">
        <f t="shared" si="1334"/>
        <v>17433.355445999998</v>
      </c>
      <c r="IT91" s="483">
        <f t="shared" si="1334"/>
        <v>14789.201386000001</v>
      </c>
      <c r="IU91" s="483">
        <f t="shared" si="1334"/>
        <v>13121.332532</v>
      </c>
      <c r="IV91" s="483">
        <f t="shared" si="1334"/>
        <v>229106.57099899996</v>
      </c>
      <c r="IW91" s="131">
        <f t="shared" si="1334"/>
        <v>11528.850875068478</v>
      </c>
      <c r="IX91" s="483">
        <f t="shared" si="1334"/>
        <v>16143.816334381296</v>
      </c>
      <c r="IY91" s="483">
        <f t="shared" si="1334"/>
        <v>17434.724615864368</v>
      </c>
      <c r="IZ91" s="483">
        <f t="shared" si="1334"/>
        <v>15085.286576382536</v>
      </c>
      <c r="JA91" s="483">
        <f t="shared" si="1334"/>
        <v>12938.513102012612</v>
      </c>
      <c r="JB91" s="483">
        <f t="shared" si="1334"/>
        <v>231083.95978967557</v>
      </c>
      <c r="JC91" s="131">
        <f t="shared" si="1334"/>
        <v>11505.310853803359</v>
      </c>
      <c r="JD91" s="483">
        <f t="shared" si="1334"/>
        <v>18160.118508815125</v>
      </c>
      <c r="JE91" s="483">
        <f t="shared" si="1334"/>
        <v>19469.774571890881</v>
      </c>
      <c r="JF91" s="483">
        <f t="shared" si="1334"/>
        <v>14579.957350206247</v>
      </c>
      <c r="JG91" s="483">
        <f t="shared" si="1334"/>
        <v>12772.484899948786</v>
      </c>
      <c r="JH91" s="484">
        <f t="shared" si="1334"/>
        <v>238257.84439835045</v>
      </c>
      <c r="JJ91" s="560" t="s">
        <v>0</v>
      </c>
      <c r="JK91" s="131">
        <f t="shared" ref="JK91" si="1335">JK88+JK89+JK90</f>
        <v>23598.939547999998</v>
      </c>
      <c r="JL91" s="483">
        <f t="shared" ref="JL91" si="1336">JL88+JL89+JL90</f>
        <v>27870.084621000002</v>
      </c>
      <c r="JM91" s="483">
        <f t="shared" ref="JM91" si="1337">JM88+JM89+JM90</f>
        <v>19653.161037000002</v>
      </c>
      <c r="JN91" s="484">
        <f t="shared" ref="JN91" si="1338">JN88+JN89+JN90</f>
        <v>1406.0206230000001</v>
      </c>
      <c r="JO91" s="131">
        <f t="shared" ref="JO91" si="1339">JO88+JO89+JO90</f>
        <v>24667.909465836216</v>
      </c>
      <c r="JP91" s="483">
        <f t="shared" ref="JP91" si="1340">JP88+JP89+JP90</f>
        <v>27012.840595414185</v>
      </c>
      <c r="JQ91" s="483">
        <f t="shared" ref="JQ91" si="1341">JQ88+JQ89+JQ90</f>
        <v>20076.886673464352</v>
      </c>
      <c r="JR91" s="484">
        <f t="shared" ref="JR91" si="1342">JR88+JR89+JR90</f>
        <v>1373.5547689945429</v>
      </c>
      <c r="JS91" s="131">
        <f t="shared" ref="JS91" si="1343">JS88+JS89+JS90</f>
        <v>25012.192243960442</v>
      </c>
      <c r="JT91" s="483">
        <f t="shared" ref="JT91" si="1344">JT88+JT89+JT90</f>
        <v>30377.969075308705</v>
      </c>
      <c r="JU91" s="483">
        <f t="shared" ref="JU91" si="1345">JU88+JU89+JU90</f>
        <v>19889.786960693367</v>
      </c>
      <c r="JV91" s="484">
        <f t="shared" ref="JV91" si="1346">JV88+JV89+JV90</f>
        <v>1207.6979047018733</v>
      </c>
      <c r="JX91" s="560" t="s">
        <v>0</v>
      </c>
      <c r="JY91" s="697">
        <f t="shared" ref="JY91" si="1347">JY88+JY89+JY90</f>
        <v>16741.388455855831</v>
      </c>
      <c r="JZ91" s="600">
        <f t="shared" ref="JZ91" si="1348">JZ88+JZ89+JZ90</f>
        <v>22150.004667197609</v>
      </c>
      <c r="KA91" s="600">
        <f t="shared" ref="KA91" si="1349">KA88+KA89+KA90</f>
        <v>12432.288014625145</v>
      </c>
      <c r="KB91" s="698">
        <f t="shared" ref="KB91" si="1350">KB88+KB89+KB90</f>
        <v>25163.96504698581</v>
      </c>
      <c r="KC91" s="603"/>
      <c r="KD91" s="560" t="s">
        <v>0</v>
      </c>
      <c r="KE91" s="697">
        <f t="shared" ref="KE91" si="1351">KE88+KE89+KE90</f>
        <v>2851.7481066758373</v>
      </c>
      <c r="KF91" s="600">
        <f t="shared" ref="KF91" si="1352">KF88+KF89+KF90</f>
        <v>2525.7980770409486</v>
      </c>
      <c r="KG91" s="600">
        <f t="shared" ref="KG91" si="1353">KG88+KG89+KG90</f>
        <v>19563.799985757516</v>
      </c>
      <c r="KH91" s="600">
        <f t="shared" ref="KH91" si="1354">KH88+KH89+KH90</f>
        <v>18135.702497107963</v>
      </c>
      <c r="KI91" s="600">
        <f t="shared" ref="KI91" si="1355">KI88+KI89+KI90</f>
        <v>9274.2526084575948</v>
      </c>
      <c r="KJ91" s="698">
        <f t="shared" ref="KJ91" si="1356">KJ88+KJ89+KJ90</f>
        <v>7307.0569794829162</v>
      </c>
      <c r="KK91" s="697">
        <f t="shared" ref="KK91" si="1357">KK88+KK89+KK90</f>
        <v>3019.2067820715515</v>
      </c>
      <c r="KL91" s="600">
        <f t="shared" ref="KL91" si="1358">KL88+KL89+KL90</f>
        <v>3314.4311406067609</v>
      </c>
      <c r="KM91" s="600">
        <f t="shared" ref="KM91" si="1359">KM88+KM89+KM90</f>
        <v>4053.0050728035171</v>
      </c>
      <c r="KN91" s="600">
        <f t="shared" ref="KN91" si="1360">KN88+KN89+KN90</f>
        <v>3114.5297362751717</v>
      </c>
      <c r="KO91" s="600">
        <f t="shared" ref="KO91" si="1361">KO88+KO89+KO90</f>
        <v>1059.8743672747696</v>
      </c>
      <c r="KP91" s="698">
        <f t="shared" ref="KP91" si="1362">KP88+KP89+KP90</f>
        <v>760.86527764331584</v>
      </c>
      <c r="KQ91" s="697">
        <f t="shared" ref="KQ91" si="1363">KQ88+KQ89+KQ90</f>
        <v>5902.1532757204086</v>
      </c>
      <c r="KR91" s="600">
        <f t="shared" ref="KR91" si="1364">KR88+KR89+KR90</f>
        <v>5867.6021413019416</v>
      </c>
      <c r="KS91" s="600">
        <f t="shared" ref="KS91" si="1365">KS88+KS89+KS90</f>
        <v>23787.562791434146</v>
      </c>
      <c r="KT91" s="600">
        <f t="shared" ref="KT91" si="1366">KT88+KT89+KT90</f>
        <v>21506.958114270168</v>
      </c>
      <c r="KU91" s="600">
        <f t="shared" ref="KU91" si="1367">KU88+KU89+KU90</f>
        <v>10494.4911871693</v>
      </c>
      <c r="KV91" s="698">
        <f t="shared" ref="KV91" si="1368">KV88+KV89+KV90</f>
        <v>8149.031641135206</v>
      </c>
      <c r="KW91" s="429"/>
      <c r="KX91" s="560" t="s">
        <v>0</v>
      </c>
      <c r="KY91" s="131">
        <f t="shared" ref="KY91" si="1369">KY88+KY89+KY90</f>
        <v>21919.194294000004</v>
      </c>
      <c r="KZ91" s="483">
        <f t="shared" ref="KZ91" si="1370">KZ88+KZ89+KZ90</f>
        <v>38927.167760999997</v>
      </c>
      <c r="LA91" s="484">
        <f t="shared" ref="LA91:LB91" si="1371">LA88+LA89+LA90</f>
        <v>11683.843773000001</v>
      </c>
      <c r="LB91" s="131">
        <f t="shared" si="1371"/>
        <v>23095.065928715376</v>
      </c>
      <c r="LC91" s="483">
        <f t="shared" ref="LC91" si="1372">LC88+LC89+LC90</f>
        <v>38816.917112577597</v>
      </c>
      <c r="LD91" s="484">
        <f t="shared" ref="LD91:LE91" si="1373">LD88+LD89+LD90</f>
        <v>11219.208462416322</v>
      </c>
      <c r="LE91" s="131">
        <f t="shared" si="1373"/>
        <v>24101.149787181825</v>
      </c>
      <c r="LF91" s="483">
        <f t="shared" ref="LF91" si="1374">LF88+LF89+LF90</f>
        <v>40768.147631056607</v>
      </c>
      <c r="LG91" s="484">
        <f t="shared" ref="LG91" si="1375">LG88+LG89+LG90</f>
        <v>11620.348768456734</v>
      </c>
      <c r="LH91" s="426"/>
      <c r="LI91" s="560" t="s">
        <v>0</v>
      </c>
      <c r="LJ91" s="131">
        <f t="shared" ref="LJ91:MA91" si="1376">LJ88+LJ89+LJ90</f>
        <v>63211.340041000003</v>
      </c>
      <c r="LK91" s="483">
        <f t="shared" si="1376"/>
        <v>54404.472391999996</v>
      </c>
      <c r="LL91" s="483">
        <f t="shared" si="1376"/>
        <v>8806.8676450000003</v>
      </c>
      <c r="LM91" s="483">
        <f t="shared" si="1376"/>
        <v>18526.599646000002</v>
      </c>
      <c r="LN91" s="483">
        <f t="shared" si="1376"/>
        <v>5736.8038930000002</v>
      </c>
      <c r="LO91" s="484">
        <f t="shared" si="1376"/>
        <v>6064.661717</v>
      </c>
      <c r="LP91" s="697">
        <f t="shared" si="1376"/>
        <v>63518.417741842917</v>
      </c>
      <c r="LQ91" s="600">
        <f t="shared" si="1376"/>
        <v>52095.367591810616</v>
      </c>
      <c r="LR91" s="483">
        <f t="shared" si="1376"/>
        <v>11423.050150032301</v>
      </c>
      <c r="LS91" s="483">
        <f t="shared" si="1376"/>
        <v>17100.198395607655</v>
      </c>
      <c r="LT91" s="483">
        <f t="shared" si="1376"/>
        <v>4933.8159261770952</v>
      </c>
      <c r="LU91" s="484">
        <f t="shared" si="1376"/>
        <v>6297.5865299700099</v>
      </c>
      <c r="LV91" s="697">
        <f t="shared" si="1376"/>
        <v>65088.990371657754</v>
      </c>
      <c r="LW91" s="600">
        <f t="shared" si="1376"/>
        <v>54134.756993648421</v>
      </c>
      <c r="LX91" s="483">
        <f t="shared" si="1376"/>
        <v>10954.233378009318</v>
      </c>
      <c r="LY91" s="483">
        <f t="shared" si="1376"/>
        <v>17087.657782860195</v>
      </c>
      <c r="LZ91" s="483">
        <f t="shared" si="1376"/>
        <v>3741.7188253213408</v>
      </c>
      <c r="MA91" s="484">
        <f t="shared" si="1376"/>
        <v>6635.2806689859808</v>
      </c>
      <c r="MC91" s="560" t="s">
        <v>0</v>
      </c>
      <c r="MD91" s="131">
        <f t="shared" ref="MD91:MU91" si="1377">MD88+MD89+MD90</f>
        <v>36.192058000000003</v>
      </c>
      <c r="ME91" s="483">
        <f t="shared" si="1377"/>
        <v>2048.3533729999999</v>
      </c>
      <c r="MF91" s="483">
        <f t="shared" si="1377"/>
        <v>10522.419242</v>
      </c>
      <c r="MG91" s="483">
        <f t="shared" si="1377"/>
        <v>15198.937024999999</v>
      </c>
      <c r="MH91" s="483">
        <f t="shared" si="1377"/>
        <v>16364.493060000001</v>
      </c>
      <c r="MI91" s="484">
        <f t="shared" si="1377"/>
        <v>10256.077605</v>
      </c>
      <c r="MJ91" s="131">
        <f t="shared" si="1377"/>
        <v>10.892226624757321</v>
      </c>
      <c r="MK91" s="483">
        <f t="shared" si="1377"/>
        <v>2174.6748637601504</v>
      </c>
      <c r="ML91" s="483">
        <f t="shared" si="1377"/>
        <v>11808.823240464259</v>
      </c>
      <c r="MM91" s="483">
        <f t="shared" si="1377"/>
        <v>14047.712735594165</v>
      </c>
      <c r="MN91" s="483">
        <f t="shared" si="1377"/>
        <v>14960.486917024644</v>
      </c>
      <c r="MO91" s="484">
        <f t="shared" si="1377"/>
        <v>9095.777605998097</v>
      </c>
      <c r="MP91" s="131">
        <f t="shared" si="1377"/>
        <v>18.249556720459786</v>
      </c>
      <c r="MQ91" s="483">
        <f t="shared" si="1377"/>
        <v>2323.6780673320027</v>
      </c>
      <c r="MR91" s="483">
        <f t="shared" si="1377"/>
        <v>12660.257258306663</v>
      </c>
      <c r="MS91" s="483">
        <f t="shared" si="1377"/>
        <v>15372.86097172864</v>
      </c>
      <c r="MT91" s="483">
        <f t="shared" si="1377"/>
        <v>15226.38338379752</v>
      </c>
      <c r="MU91" s="484">
        <f t="shared" si="1377"/>
        <v>8491.327713116958</v>
      </c>
      <c r="MW91" s="560" t="s">
        <v>0</v>
      </c>
      <c r="MX91" s="131">
        <f t="shared" ref="MX91:NF91" si="1378">MX88+MX89+MX90</f>
        <v>54912.576356000005</v>
      </c>
      <c r="MY91" s="483">
        <f t="shared" si="1378"/>
        <v>50259.748292000011</v>
      </c>
      <c r="MZ91" s="600">
        <f t="shared" si="1378"/>
        <v>4652.8280519999998</v>
      </c>
      <c r="NA91" s="697">
        <f t="shared" si="1378"/>
        <v>52672.824072498435</v>
      </c>
      <c r="NB91" s="600">
        <f t="shared" si="1378"/>
        <v>47472.340203307474</v>
      </c>
      <c r="NC91" s="698">
        <f t="shared" si="1378"/>
        <v>5200.4838691909627</v>
      </c>
      <c r="ND91" s="697">
        <f t="shared" si="1378"/>
        <v>54922.214162332049</v>
      </c>
      <c r="NE91" s="600">
        <f t="shared" si="1378"/>
        <v>49139.53738606393</v>
      </c>
      <c r="NF91" s="698">
        <f t="shared" si="1378"/>
        <v>5782.6767762681256</v>
      </c>
      <c r="NH91" s="560" t="s">
        <v>0</v>
      </c>
      <c r="NI91" s="697">
        <f t="shared" ref="NI91:NR91" si="1379">NI88+NI89+NI90</f>
        <v>36948.875179415081</v>
      </c>
      <c r="NJ91" s="698">
        <f t="shared" si="1379"/>
        <v>10523.465023892395</v>
      </c>
      <c r="NK91" s="697">
        <f t="shared" si="1379"/>
        <v>3079.823980732167</v>
      </c>
      <c r="NL91" s="600">
        <f t="shared" si="1379"/>
        <v>2035.1888273864126</v>
      </c>
      <c r="NM91" s="698">
        <f t="shared" si="1379"/>
        <v>85.471061072383009</v>
      </c>
      <c r="NN91" s="697">
        <f t="shared" si="1379"/>
        <v>37695.390536585124</v>
      </c>
      <c r="NO91" s="698">
        <f t="shared" si="1379"/>
        <v>11444.14684947879</v>
      </c>
      <c r="NP91" s="697">
        <f t="shared" si="1379"/>
        <v>3820.1929376028643</v>
      </c>
      <c r="NQ91" s="600">
        <f t="shared" si="1379"/>
        <v>1904.5203008359931</v>
      </c>
      <c r="NR91" s="698">
        <f t="shared" si="1379"/>
        <v>57.963537829268915</v>
      </c>
      <c r="NS91" s="136"/>
      <c r="NT91" s="560" t="s">
        <v>0</v>
      </c>
      <c r="NU91" s="697">
        <f t="shared" ref="NU91:OB91" si="1380">NU88+NU89+NU90</f>
        <v>6367.9800465243807</v>
      </c>
      <c r="NV91" s="600">
        <f t="shared" si="1380"/>
        <v>1147.5803648428839</v>
      </c>
      <c r="NW91" s="600">
        <f t="shared" si="1380"/>
        <v>445.56234083114714</v>
      </c>
      <c r="NX91" s="698">
        <f t="shared" si="1380"/>
        <v>2562.3422716939822</v>
      </c>
      <c r="NY91" s="697">
        <f t="shared" si="1380"/>
        <v>6898.6120645437295</v>
      </c>
      <c r="NZ91" s="600">
        <f t="shared" si="1380"/>
        <v>1404.7120748517352</v>
      </c>
      <c r="OA91" s="600">
        <f t="shared" si="1380"/>
        <v>336.05271736643738</v>
      </c>
      <c r="OB91" s="698">
        <f t="shared" si="1380"/>
        <v>2804.7699927168883</v>
      </c>
      <c r="OC91" s="429"/>
      <c r="OD91" s="560" t="s">
        <v>0</v>
      </c>
      <c r="OE91" s="697">
        <f t="shared" ref="OE91:OR91" si="1381">OE88+OE89+OE90</f>
        <v>3775.0764723658303</v>
      </c>
      <c r="OF91" s="483">
        <f t="shared" si="1381"/>
        <v>6266.4262929363258</v>
      </c>
      <c r="OG91" s="483">
        <f t="shared" si="1381"/>
        <v>4853.5823206246978</v>
      </c>
      <c r="OH91" s="483">
        <f t="shared" si="1381"/>
        <v>3901.229336456111</v>
      </c>
      <c r="OI91" s="483">
        <f t="shared" si="1381"/>
        <v>17448.777848303493</v>
      </c>
      <c r="OJ91" s="483">
        <f t="shared" si="1381"/>
        <v>2199.39914219813</v>
      </c>
      <c r="OK91" s="483">
        <f t="shared" si="1381"/>
        <v>1478.6672463615905</v>
      </c>
      <c r="OL91" s="131">
        <f t="shared" si="1381"/>
        <v>5319.3026556212944</v>
      </c>
      <c r="OM91" s="483">
        <f t="shared" si="1381"/>
        <v>6520.811184999242</v>
      </c>
      <c r="ON91" s="483">
        <f t="shared" si="1381"/>
        <v>4990.9008580741483</v>
      </c>
      <c r="OO91" s="483">
        <f t="shared" si="1381"/>
        <v>4069.3123883725616</v>
      </c>
      <c r="OP91" s="483">
        <f t="shared" si="1381"/>
        <v>24317.048924412542</v>
      </c>
      <c r="OQ91" s="483">
        <f t="shared" si="1381"/>
        <v>11833.85707180317</v>
      </c>
      <c r="OR91" s="484">
        <f t="shared" si="1381"/>
        <v>78040.656570340187</v>
      </c>
      <c r="OT91" s="560" t="s">
        <v>0</v>
      </c>
      <c r="OU91" s="131">
        <f t="shared" ref="OU91:PF91" si="1382">OU88+OU89+OU90</f>
        <v>29310.725023999999</v>
      </c>
      <c r="OV91" s="483">
        <f t="shared" si="1382"/>
        <v>18896.311150999998</v>
      </c>
      <c r="OW91" s="483">
        <f t="shared" si="1382"/>
        <v>15154.914893999998</v>
      </c>
      <c r="OX91" s="484">
        <f t="shared" si="1382"/>
        <v>27770.786532000002</v>
      </c>
      <c r="OY91" s="131">
        <f t="shared" si="1382"/>
        <v>26170.978797195821</v>
      </c>
      <c r="OZ91" s="483">
        <f t="shared" si="1382"/>
        <v>17994.797389431595</v>
      </c>
      <c r="PA91" s="483">
        <f t="shared" si="1382"/>
        <v>15444.145913317132</v>
      </c>
      <c r="PB91" s="484">
        <f t="shared" si="1382"/>
        <v>32112.057074733031</v>
      </c>
      <c r="PC91" s="131">
        <f t="shared" si="1382"/>
        <v>21418.138313817126</v>
      </c>
      <c r="PD91" s="483">
        <f t="shared" si="1382"/>
        <v>18501.787618602131</v>
      </c>
      <c r="PE91" s="483">
        <f t="shared" si="1382"/>
        <v>15894.111588050722</v>
      </c>
      <c r="PF91" s="484">
        <f t="shared" si="1382"/>
        <v>37418.763861139138</v>
      </c>
      <c r="PH91" s="560" t="s">
        <v>0</v>
      </c>
      <c r="PI91" s="697">
        <f t="shared" ref="PI91:PP91" si="1383">PI88+PI89+PI90</f>
        <v>8387.1919919557149</v>
      </c>
      <c r="PJ91" s="600">
        <f t="shared" si="1383"/>
        <v>9696.255363502507</v>
      </c>
      <c r="PK91" s="600">
        <f t="shared" si="1383"/>
        <v>7466.4854202323259</v>
      </c>
      <c r="PL91" s="698">
        <f t="shared" si="1383"/>
        <v>17393.33067942944</v>
      </c>
      <c r="PM91" s="697">
        <f t="shared" si="1383"/>
        <v>13030.946321861413</v>
      </c>
      <c r="PN91" s="600">
        <f t="shared" si="1383"/>
        <v>8805.5322550996207</v>
      </c>
      <c r="PO91" s="600">
        <f t="shared" si="1383"/>
        <v>8427.6261678183964</v>
      </c>
      <c r="PP91" s="698">
        <f t="shared" si="1383"/>
        <v>20025.433181709694</v>
      </c>
      <c r="PQ91" s="65"/>
      <c r="PR91" s="1031" t="s">
        <v>0</v>
      </c>
      <c r="PS91" s="1032">
        <f t="shared" ref="PS91:PW91" si="1384">PS88+PS89+PS90</f>
        <v>1658.0999505394377</v>
      </c>
      <c r="PT91" s="1033">
        <f t="shared" si="1384"/>
        <v>6806.2561395927851</v>
      </c>
      <c r="PU91" s="1033">
        <f t="shared" si="1384"/>
        <v>4125.7069217698945</v>
      </c>
      <c r="PV91" s="1033">
        <f t="shared" si="1384"/>
        <v>756.03117311173935</v>
      </c>
      <c r="PW91" s="1042">
        <f t="shared" si="1384"/>
        <v>29255.062153463634</v>
      </c>
      <c r="PX91" s="1043">
        <f t="shared" ref="PX91" si="1385">PX88+PX89+PX90</f>
        <v>12280.05778222377</v>
      </c>
      <c r="PZ91" s="1031" t="s">
        <v>0</v>
      </c>
      <c r="QA91" s="1032">
        <f t="shared" ref="QA91:QF91" si="1386">QA88+QA89+QA90</f>
        <v>34974.592122926595</v>
      </c>
      <c r="QB91" s="1033">
        <f t="shared" si="1386"/>
        <v>19947.62203940544</v>
      </c>
      <c r="QC91" s="1033">
        <f t="shared" si="1386"/>
        <v>15439.064762274744</v>
      </c>
      <c r="QD91" s="1033">
        <f t="shared" ref="QD91" si="1387">QD88+QD89+QD90</f>
        <v>1699.2473394210415</v>
      </c>
      <c r="QE91" s="1033">
        <f t="shared" si="1386"/>
        <v>2733.394819882787</v>
      </c>
      <c r="QF91" s="1034">
        <f t="shared" si="1386"/>
        <v>75.915117826862684</v>
      </c>
    </row>
    <row r="92" spans="1:448" ht="13.5" customHeight="1">
      <c r="A92" s="136"/>
      <c r="B92" s="560" t="s">
        <v>304</v>
      </c>
      <c r="C92" s="629"/>
      <c r="D92" s="629"/>
      <c r="E92" s="630"/>
      <c r="F92" s="136"/>
      <c r="G92" s="560" t="s">
        <v>304</v>
      </c>
      <c r="H92" s="642"/>
      <c r="I92" s="642"/>
      <c r="J92" s="643"/>
      <c r="K92" s="63"/>
      <c r="L92" s="560" t="s">
        <v>690</v>
      </c>
      <c r="M92" s="697">
        <v>1603</v>
      </c>
      <c r="N92" s="600">
        <v>1664</v>
      </c>
      <c r="O92" s="600">
        <v>1587</v>
      </c>
      <c r="P92" s="600">
        <v>1629</v>
      </c>
      <c r="Q92" s="600">
        <v>1592</v>
      </c>
      <c r="R92" s="600">
        <v>1588</v>
      </c>
      <c r="S92" s="600">
        <v>1613</v>
      </c>
      <c r="T92" s="600">
        <v>1542</v>
      </c>
      <c r="U92" s="598">
        <v>1492</v>
      </c>
      <c r="V92" s="598">
        <v>1339</v>
      </c>
      <c r="W92" s="599">
        <v>1466</v>
      </c>
      <c r="X92" s="560" t="s">
        <v>690</v>
      </c>
      <c r="Y92" s="1086">
        <v>1633.5</v>
      </c>
      <c r="Z92" s="1087">
        <v>1608</v>
      </c>
      <c r="AA92" s="1087">
        <v>1590</v>
      </c>
      <c r="AB92" s="1087">
        <v>1577.5</v>
      </c>
      <c r="AC92" s="1210">
        <v>1577.5</v>
      </c>
      <c r="AD92" s="1081">
        <v>-1.5610651974288337E-2</v>
      </c>
      <c r="AE92" s="1081">
        <v>-1.1194029850746268E-2</v>
      </c>
      <c r="AF92" s="1081">
        <v>-7.8616352201257862E-3</v>
      </c>
      <c r="AG92" s="804">
        <v>-1.1194029850746268E-2</v>
      </c>
      <c r="AJ92" s="429"/>
      <c r="AN92" s="560" t="s">
        <v>304</v>
      </c>
      <c r="AO92" s="644"/>
      <c r="AP92" s="629"/>
      <c r="AQ92" s="629"/>
      <c r="AR92" s="629"/>
      <c r="AS92" s="629"/>
      <c r="AT92" s="629"/>
      <c r="AU92" s="629"/>
      <c r="AV92" s="629"/>
      <c r="AW92" s="644"/>
      <c r="AX92" s="629"/>
      <c r="AY92" s="629"/>
      <c r="AZ92" s="629"/>
      <c r="BA92" s="629"/>
      <c r="BB92" s="629"/>
      <c r="BC92" s="629"/>
      <c r="BD92" s="630"/>
      <c r="BE92" s="644"/>
      <c r="BF92" s="629"/>
      <c r="BG92" s="629"/>
      <c r="BH92" s="629"/>
      <c r="BI92" s="629"/>
      <c r="BJ92" s="629"/>
      <c r="BK92" s="629"/>
      <c r="BL92" s="630"/>
      <c r="BN92" s="560" t="s">
        <v>304</v>
      </c>
      <c r="BO92" s="711"/>
      <c r="BP92" s="712"/>
      <c r="BQ92" s="712"/>
      <c r="BR92" s="712"/>
      <c r="BS92" s="712"/>
      <c r="BT92" s="713"/>
      <c r="BU92" s="711"/>
      <c r="BV92" s="712"/>
      <c r="BW92" s="712"/>
      <c r="BX92" s="712"/>
      <c r="BY92" s="712"/>
      <c r="BZ92" s="713"/>
      <c r="CA92" s="711"/>
      <c r="CB92" s="712"/>
      <c r="CC92" s="712"/>
      <c r="CD92" s="712"/>
      <c r="CE92" s="712"/>
      <c r="CF92" s="713"/>
      <c r="CG92" s="429"/>
      <c r="CH92" s="560" t="s">
        <v>304</v>
      </c>
      <c r="CI92" s="711"/>
      <c r="CJ92" s="712"/>
      <c r="CK92" s="713"/>
      <c r="CL92" s="711"/>
      <c r="CM92" s="712"/>
      <c r="CN92" s="713"/>
      <c r="CO92" s="711"/>
      <c r="CP92" s="712"/>
      <c r="CQ92" s="713"/>
      <c r="CR92" s="429"/>
      <c r="CS92" s="426"/>
      <c r="CT92" s="426"/>
      <c r="CU92" s="426"/>
      <c r="CV92" s="426"/>
      <c r="CW92" s="426"/>
      <c r="CX92" s="426"/>
      <c r="CY92" s="426"/>
      <c r="CZ92" s="426"/>
      <c r="DA92" s="426"/>
      <c r="DG92" s="560" t="s">
        <v>304</v>
      </c>
      <c r="DH92" s="825"/>
      <c r="DI92" s="712"/>
      <c r="DJ92" s="712"/>
      <c r="DK92" s="712"/>
      <c r="DL92" s="712"/>
      <c r="DM92" s="713"/>
      <c r="DO92" s="560" t="s">
        <v>304</v>
      </c>
      <c r="DP92" s="712"/>
      <c r="DQ92" s="712"/>
      <c r="DR92" s="713"/>
      <c r="DS92" s="63"/>
      <c r="DT92" s="560" t="s">
        <v>304</v>
      </c>
      <c r="DU92" s="711"/>
      <c r="DV92" s="712"/>
      <c r="DW92" s="725"/>
      <c r="DX92" s="63"/>
      <c r="DY92" s="560" t="s">
        <v>304</v>
      </c>
      <c r="DZ92" s="726"/>
      <c r="EA92" s="727"/>
      <c r="EB92" s="728"/>
      <c r="EC92" s="429"/>
      <c r="ED92" s="541"/>
      <c r="EE92" s="560" t="s">
        <v>304</v>
      </c>
      <c r="EF92" s="711"/>
      <c r="EG92" s="712"/>
      <c r="EH92" s="712"/>
      <c r="EI92" s="712"/>
      <c r="EJ92" s="713"/>
      <c r="EK92" s="711"/>
      <c r="EL92" s="712"/>
      <c r="EM92" s="712"/>
      <c r="EN92" s="712"/>
      <c r="EO92" s="713"/>
      <c r="EP92" s="711"/>
      <c r="EQ92" s="712"/>
      <c r="ER92" s="712"/>
      <c r="ES92" s="712"/>
      <c r="ET92" s="713"/>
      <c r="EU92" s="429"/>
      <c r="EV92" s="560" t="s">
        <v>304</v>
      </c>
      <c r="EW92" s="711"/>
      <c r="EX92" s="712"/>
      <c r="EY92" s="712"/>
      <c r="EZ92" s="712"/>
      <c r="FA92" s="711"/>
      <c r="FB92" s="712"/>
      <c r="FC92" s="712"/>
      <c r="FD92" s="712"/>
      <c r="FE92" s="711"/>
      <c r="FF92" s="712"/>
      <c r="FG92" s="712"/>
      <c r="FH92" s="712"/>
      <c r="FI92" s="711"/>
      <c r="FJ92" s="712"/>
      <c r="FK92" s="712"/>
      <c r="FL92" s="712"/>
      <c r="FM92" s="711"/>
      <c r="FN92" s="712"/>
      <c r="FO92" s="712"/>
      <c r="FP92" s="712"/>
      <c r="FQ92" s="711"/>
      <c r="FR92" s="712"/>
      <c r="FS92" s="712"/>
      <c r="FT92" s="713"/>
      <c r="FV92" s="560" t="s">
        <v>304</v>
      </c>
      <c r="FW92" s="752"/>
      <c r="FX92" s="753"/>
      <c r="FY92" s="753"/>
      <c r="FZ92" s="754"/>
      <c r="GA92" s="752"/>
      <c r="GB92" s="753"/>
      <c r="GC92" s="753"/>
      <c r="GD92" s="754"/>
      <c r="GE92" s="752"/>
      <c r="GF92" s="753"/>
      <c r="GG92" s="753"/>
      <c r="GH92" s="754"/>
      <c r="GJ92" s="560" t="s">
        <v>304</v>
      </c>
      <c r="GK92" s="767"/>
      <c r="GL92" s="767"/>
      <c r="GM92" s="725"/>
      <c r="GO92" s="560" t="s">
        <v>304</v>
      </c>
      <c r="GP92" s="711"/>
      <c r="GQ92" s="712"/>
      <c r="GR92" s="713"/>
      <c r="GS92" s="711"/>
      <c r="GT92" s="712"/>
      <c r="GU92" s="713"/>
      <c r="GV92" s="711"/>
      <c r="GW92" s="712"/>
      <c r="GX92" s="713"/>
      <c r="GZ92" s="560" t="s">
        <v>304</v>
      </c>
      <c r="HA92" s="711"/>
      <c r="HB92" s="712"/>
      <c r="HC92" s="713"/>
      <c r="HD92" s="711"/>
      <c r="HE92" s="712"/>
      <c r="HF92" s="713"/>
      <c r="HG92" s="711"/>
      <c r="HH92" s="712"/>
      <c r="HI92" s="713"/>
      <c r="HK92" s="560" t="s">
        <v>304</v>
      </c>
      <c r="HL92" s="712"/>
      <c r="HM92" s="712"/>
      <c r="HN92" s="713"/>
      <c r="HO92" s="711"/>
      <c r="HP92" s="712"/>
      <c r="HQ92" s="713"/>
      <c r="HR92" s="712"/>
      <c r="HS92" s="712"/>
      <c r="HT92" s="713"/>
      <c r="HV92" s="560" t="s">
        <v>304</v>
      </c>
      <c r="HW92" s="711"/>
      <c r="HX92" s="712"/>
      <c r="HY92" s="712"/>
      <c r="HZ92" s="712"/>
      <c r="IA92" s="712"/>
      <c r="IB92" s="712"/>
      <c r="IC92" s="711"/>
      <c r="ID92" s="712"/>
      <c r="IE92" s="712"/>
      <c r="IF92" s="712"/>
      <c r="IG92" s="712"/>
      <c r="IH92" s="712"/>
      <c r="II92" s="711"/>
      <c r="IJ92" s="712"/>
      <c r="IK92" s="712"/>
      <c r="IL92" s="712"/>
      <c r="IM92" s="712"/>
      <c r="IN92" s="713"/>
      <c r="IP92" s="560" t="s">
        <v>304</v>
      </c>
      <c r="IQ92" s="711"/>
      <c r="IR92" s="712"/>
      <c r="IS92" s="712"/>
      <c r="IT92" s="712"/>
      <c r="IU92" s="712"/>
      <c r="IV92" s="712"/>
      <c r="IW92" s="711"/>
      <c r="IX92" s="712"/>
      <c r="IY92" s="712"/>
      <c r="IZ92" s="712"/>
      <c r="JA92" s="712"/>
      <c r="JB92" s="712"/>
      <c r="JC92" s="711"/>
      <c r="JD92" s="712"/>
      <c r="JE92" s="712"/>
      <c r="JF92" s="712"/>
      <c r="JG92" s="712"/>
      <c r="JH92" s="713"/>
      <c r="JJ92" s="560" t="s">
        <v>304</v>
      </c>
      <c r="JK92" s="711"/>
      <c r="JL92" s="712"/>
      <c r="JM92" s="712"/>
      <c r="JN92" s="713"/>
      <c r="JO92" s="711"/>
      <c r="JP92" s="712"/>
      <c r="JQ92" s="712"/>
      <c r="JR92" s="713"/>
      <c r="JS92" s="711"/>
      <c r="JT92" s="712"/>
      <c r="JU92" s="712"/>
      <c r="JV92" s="713"/>
      <c r="JX92" s="560" t="s">
        <v>304</v>
      </c>
      <c r="JY92" s="711"/>
      <c r="JZ92" s="712"/>
      <c r="KA92" s="712"/>
      <c r="KB92" s="713"/>
      <c r="KC92" s="603"/>
      <c r="KD92" s="560" t="s">
        <v>304</v>
      </c>
      <c r="KE92" s="711"/>
      <c r="KF92" s="712"/>
      <c r="KG92" s="712"/>
      <c r="KH92" s="712"/>
      <c r="KI92" s="712"/>
      <c r="KJ92" s="713"/>
      <c r="KK92" s="711"/>
      <c r="KL92" s="712"/>
      <c r="KM92" s="712"/>
      <c r="KN92" s="712"/>
      <c r="KO92" s="712"/>
      <c r="KP92" s="713"/>
      <c r="KQ92" s="711"/>
      <c r="KR92" s="712"/>
      <c r="KS92" s="712"/>
      <c r="KT92" s="712"/>
      <c r="KU92" s="712"/>
      <c r="KV92" s="713"/>
      <c r="KW92" s="429"/>
      <c r="KX92" s="560" t="s">
        <v>304</v>
      </c>
      <c r="KY92" s="711"/>
      <c r="KZ92" s="712"/>
      <c r="LA92" s="713"/>
      <c r="LB92" s="711"/>
      <c r="LC92" s="712"/>
      <c r="LD92" s="713"/>
      <c r="LE92" s="711"/>
      <c r="LF92" s="712"/>
      <c r="LG92" s="713"/>
      <c r="LH92" s="426"/>
      <c r="LI92" s="560" t="s">
        <v>304</v>
      </c>
      <c r="LJ92" s="711"/>
      <c r="LK92" s="712"/>
      <c r="LL92" s="712"/>
      <c r="LM92" s="712"/>
      <c r="LN92" s="712"/>
      <c r="LO92" s="713"/>
      <c r="LP92" s="711"/>
      <c r="LQ92" s="712"/>
      <c r="LR92" s="712"/>
      <c r="LS92" s="712"/>
      <c r="LT92" s="712"/>
      <c r="LU92" s="713"/>
      <c r="LV92" s="711"/>
      <c r="LW92" s="712"/>
      <c r="LX92" s="712"/>
      <c r="LY92" s="712"/>
      <c r="LZ92" s="712"/>
      <c r="MA92" s="713"/>
      <c r="MC92" s="560" t="s">
        <v>304</v>
      </c>
      <c r="MD92" s="711"/>
      <c r="ME92" s="712"/>
      <c r="MF92" s="712"/>
      <c r="MG92" s="712"/>
      <c r="MH92" s="712"/>
      <c r="MI92" s="713"/>
      <c r="MJ92" s="711"/>
      <c r="MK92" s="712"/>
      <c r="ML92" s="712"/>
      <c r="MM92" s="712"/>
      <c r="MN92" s="712"/>
      <c r="MO92" s="713"/>
      <c r="MP92" s="711"/>
      <c r="MQ92" s="712"/>
      <c r="MR92" s="712"/>
      <c r="MS92" s="712"/>
      <c r="MT92" s="712"/>
      <c r="MU92" s="713"/>
      <c r="MW92" s="560" t="s">
        <v>304</v>
      </c>
      <c r="MX92" s="711"/>
      <c r="MY92" s="712"/>
      <c r="MZ92" s="712"/>
      <c r="NA92" s="711"/>
      <c r="NB92" s="712"/>
      <c r="NC92" s="713"/>
      <c r="ND92" s="711"/>
      <c r="NE92" s="712"/>
      <c r="NF92" s="713"/>
      <c r="NG92" s="809"/>
      <c r="NH92" s="560" t="s">
        <v>304</v>
      </c>
      <c r="NI92" s="711"/>
      <c r="NJ92" s="713"/>
      <c r="NK92" s="711"/>
      <c r="NL92" s="712"/>
      <c r="NM92" s="713"/>
      <c r="NN92" s="711"/>
      <c r="NO92" s="713"/>
      <c r="NP92" s="711"/>
      <c r="NQ92" s="712"/>
      <c r="NR92" s="713"/>
      <c r="NS92" s="136"/>
      <c r="NT92" s="560" t="s">
        <v>304</v>
      </c>
      <c r="NU92" s="815"/>
      <c r="NV92" s="767"/>
      <c r="NW92" s="767"/>
      <c r="NX92" s="725"/>
      <c r="NY92" s="815"/>
      <c r="NZ92" s="767"/>
      <c r="OA92" s="767"/>
      <c r="OB92" s="725"/>
      <c r="OC92" s="429"/>
      <c r="OD92" s="560" t="s">
        <v>304</v>
      </c>
      <c r="OE92" s="711"/>
      <c r="OF92" s="712"/>
      <c r="OG92" s="712"/>
      <c r="OH92" s="712"/>
      <c r="OI92" s="712"/>
      <c r="OJ92" s="712"/>
      <c r="OK92" s="712"/>
      <c r="OL92" s="711"/>
      <c r="OM92" s="712"/>
      <c r="ON92" s="712"/>
      <c r="OO92" s="712"/>
      <c r="OP92" s="712"/>
      <c r="OQ92" s="712"/>
      <c r="OR92" s="713"/>
      <c r="OT92" s="560" t="s">
        <v>304</v>
      </c>
      <c r="OU92" s="711"/>
      <c r="OV92" s="712"/>
      <c r="OW92" s="712"/>
      <c r="OX92" s="713"/>
      <c r="OY92" s="711"/>
      <c r="OZ92" s="712"/>
      <c r="PA92" s="712"/>
      <c r="PB92" s="713"/>
      <c r="PC92" s="711"/>
      <c r="PD92" s="712"/>
      <c r="PE92" s="712"/>
      <c r="PF92" s="713"/>
      <c r="PH92" s="560" t="s">
        <v>304</v>
      </c>
      <c r="PI92" s="711"/>
      <c r="PJ92" s="712"/>
      <c r="PK92" s="712"/>
      <c r="PL92" s="713"/>
      <c r="PM92" s="711"/>
      <c r="PN92" s="712"/>
      <c r="PO92" s="712"/>
      <c r="PP92" s="713"/>
      <c r="PQ92" s="65"/>
      <c r="PR92" s="1031" t="s">
        <v>304</v>
      </c>
      <c r="PS92" s="711"/>
      <c r="PT92" s="712"/>
      <c r="PU92" s="712"/>
      <c r="PV92" s="712"/>
      <c r="PW92" s="767"/>
      <c r="PX92" s="725"/>
      <c r="PZ92" s="1031" t="s">
        <v>304</v>
      </c>
      <c r="QA92" s="711"/>
      <c r="QB92" s="712"/>
      <c r="QC92" s="712"/>
      <c r="QD92" s="712"/>
      <c r="QE92" s="712"/>
      <c r="QF92" s="713"/>
    </row>
    <row r="93" spans="1:448" ht="15" customHeight="1">
      <c r="A93" s="139"/>
      <c r="B93" s="132" t="str">
        <f>CONCATENATE("Sources : Insee, RP", 'Aides traitements'!$I$9, ", RP",'Aides traitements'!$I$10," et RP", 'Aides traitements'!$I$11," exploitations principales et complémentaires")</f>
        <v>Sources : Insee, RP2009, RP2014 et RP2020 exploitations principales et complémentaires</v>
      </c>
      <c r="C93" s="139"/>
      <c r="D93" s="139"/>
      <c r="E93" s="139"/>
      <c r="F93" s="139"/>
      <c r="G93" s="132" t="str">
        <f>CONCATENATE("Sources : Insee, RP", 'Aides traitements'!$I$9, ", RP",'Aides traitements'!$I$10," et RP", 'Aides traitements'!$I$11," exploitations principales et complémentaires")</f>
        <v>Sources : Insee, RP2009, RP2014 et RP2020 exploitations principales et complémentaires</v>
      </c>
      <c r="H93" s="133"/>
      <c r="I93" s="133"/>
      <c r="J93" s="133"/>
      <c r="K93" s="139"/>
      <c r="L93" s="560" t="s">
        <v>691</v>
      </c>
      <c r="M93" s="697">
        <v>1603</v>
      </c>
      <c r="N93" s="600">
        <v>1686</v>
      </c>
      <c r="O93" s="600">
        <v>1597</v>
      </c>
      <c r="P93" s="600">
        <v>1641</v>
      </c>
      <c r="Q93" s="600">
        <v>1597</v>
      </c>
      <c r="R93" s="600">
        <v>1598</v>
      </c>
      <c r="S93" s="600">
        <v>1612</v>
      </c>
      <c r="T93" s="600">
        <v>1553</v>
      </c>
      <c r="U93" s="598">
        <v>1497</v>
      </c>
      <c r="V93" s="598">
        <v>1453</v>
      </c>
      <c r="W93" s="599"/>
      <c r="X93" s="560" t="s">
        <v>691</v>
      </c>
      <c r="Y93" s="1079">
        <v>1644.5</v>
      </c>
      <c r="Z93" s="1080">
        <v>1619</v>
      </c>
      <c r="AA93" s="1080">
        <v>1597.5</v>
      </c>
      <c r="AB93" s="1080">
        <v>1582.5</v>
      </c>
      <c r="AC93" s="1211">
        <v>1582.5</v>
      </c>
      <c r="AD93" s="1082">
        <v>-1.5506232897537246E-2</v>
      </c>
      <c r="AE93" s="1082">
        <v>-1.3279802347127856E-2</v>
      </c>
      <c r="AF93" s="1082">
        <v>-9.3896713615023476E-3</v>
      </c>
      <c r="AG93" s="1221">
        <v>-1.3279802347127856E-2</v>
      </c>
      <c r="AJ93" s="139"/>
      <c r="AN93" s="132" t="str">
        <f>CONCATENATE("Sources : Insee, RP", 'Aides traitements'!$I$9, ", RP",'Aides traitements'!$I$10," et RP", 'Aides traitements'!$I$11," exploitations principales et complémentaires")</f>
        <v>Sources : Insee, RP2009, RP2014 et RP2020 exploitations principales et complémentaires</v>
      </c>
      <c r="AO93" s="63"/>
      <c r="AP93" s="63"/>
      <c r="AQ93" s="63"/>
      <c r="AR93" s="132" t="s">
        <v>207</v>
      </c>
      <c r="BA93" s="63"/>
      <c r="BB93" s="63"/>
      <c r="BC93" s="63"/>
      <c r="BE93" s="63"/>
      <c r="BF93" s="63"/>
      <c r="BG93" s="63"/>
      <c r="BH93" s="63"/>
      <c r="BI93" s="63"/>
      <c r="BJ93" s="63"/>
      <c r="BK93" s="63"/>
      <c r="BM93" s="139"/>
      <c r="BN93" s="132" t="str">
        <f>CONCATENATE("Sources : Insee, RP", 'Aides traitements'!$I$9, ", RP",'Aides traitements'!$I$10," et RP", 'Aides traitements'!$I$11," exploitations principales et complémentaires")</f>
        <v>Sources : Insee, RP2009, RP2014 et RP2020 exploitations principales et complémentaires</v>
      </c>
      <c r="BO93" s="296"/>
      <c r="BP93" s="63"/>
      <c r="BQ93" s="63"/>
      <c r="BR93" s="63"/>
      <c r="BS93" s="63"/>
      <c r="BT93" s="63"/>
      <c r="BU93" s="296"/>
      <c r="BV93" s="63"/>
      <c r="BW93" s="63"/>
      <c r="BX93" s="63"/>
      <c r="BY93" s="63"/>
      <c r="BZ93" s="63"/>
      <c r="CA93" s="139"/>
      <c r="CB93" s="139"/>
      <c r="CC93" s="139"/>
      <c r="CD93" s="139"/>
      <c r="CE93" s="139"/>
      <c r="CF93" s="139"/>
      <c r="CG93" s="139"/>
      <c r="CH93" s="132" t="str">
        <f>CONCATENATE("Sources : Insee, RP", 'Aides traitements'!$I$9, ", RP",'Aides traitements'!$I$10," et RP", 'Aides traitements'!$I$11," exploitations principales et complémentaires")</f>
        <v>Sources : Insee, RP2009, RP2014 et RP2020 exploitations principales et complémentaires</v>
      </c>
      <c r="CI93" s="139"/>
      <c r="CJ93" s="139"/>
      <c r="CK93" s="139"/>
      <c r="CL93" s="139"/>
      <c r="CM93" s="139"/>
      <c r="CN93" s="139"/>
      <c r="CO93" s="296"/>
      <c r="CP93" s="139"/>
      <c r="CQ93" s="296"/>
      <c r="CR93" s="433"/>
      <c r="CS93" s="426"/>
      <c r="CT93" s="426"/>
      <c r="CU93" s="426"/>
      <c r="CV93" s="426"/>
      <c r="CW93" s="426"/>
      <c r="CX93" s="426"/>
      <c r="CY93" s="426"/>
      <c r="CZ93" s="426"/>
      <c r="DA93" s="426"/>
      <c r="DF93" s="164"/>
      <c r="DG93" s="132" t="s">
        <v>648</v>
      </c>
      <c r="DH93" s="63"/>
      <c r="DI93" s="63"/>
      <c r="DJ93" s="63"/>
      <c r="DK93" s="63"/>
      <c r="DL93" s="63"/>
      <c r="DM93" s="63"/>
      <c r="DO93" s="132" t="str">
        <f>CONCATENATE("Sources : Insee, RP", 'Aides traitements'!$I$9, ", RP",'Aides traitements'!$I$10," et RP", 'Aides traitements'!$I$11," exploitations principales et complémentaires")</f>
        <v>Sources : Insee, RP2009, RP2014 et RP2020 exploitations principales et complémentaires</v>
      </c>
      <c r="DP93" s="296"/>
      <c r="DQ93" s="296"/>
      <c r="DR93" s="139"/>
      <c r="DS93" s="139"/>
      <c r="DT93" s="132" t="str">
        <f>CONCATENATE("Sources : Insee, RP", 'Aides traitements'!$I$9, ", RP",'Aides traitements'!$I$10," et RP", 'Aides traitements'!$I$11," exploitations principales et complémentaires")</f>
        <v>Sources : Insee, RP2009, RP2014 et RP2020 exploitations principales et complémentaires</v>
      </c>
      <c r="DV93" s="296"/>
      <c r="DW93" s="296"/>
      <c r="DX93" s="296"/>
      <c r="DY93" s="132" t="str">
        <f>CONCATENATE("Sources : Insee, RP", 'Aides traitements'!$I$9, ", RP",'Aides traitements'!$I$10," et RP", 'Aides traitements'!$I$11," exploitations principales et complémentaires")</f>
        <v>Sources : Insee, RP2009, RP2014 et RP2020 exploitations principales et complémentaires</v>
      </c>
      <c r="EA93" s="296"/>
      <c r="EB93" s="296"/>
      <c r="EC93" s="296"/>
      <c r="ED93" s="139"/>
      <c r="EE93" s="132" t="str">
        <f>CONCATENATE("Sources : Insee, RP", 'Aides traitements'!$I$9, ", RP",'Aides traitements'!$I$10," et RP", 'Aides traitements'!$I$11," exploitations principales et complémentaires")</f>
        <v>Sources : Insee, RP2009, RP2014 et RP2020 exploitations principales et complémentaires</v>
      </c>
      <c r="EF93" s="132"/>
      <c r="EG93" s="63"/>
      <c r="EH93" s="63"/>
      <c r="EI93" s="139"/>
      <c r="EJ93" s="139"/>
      <c r="EK93" s="139"/>
      <c r="EL93" s="140"/>
      <c r="EM93" s="140"/>
      <c r="EN93" s="140"/>
      <c r="EO93" s="140"/>
      <c r="EP93" s="140"/>
      <c r="EQ93" s="297"/>
      <c r="ER93" s="297"/>
      <c r="ES93" s="297"/>
      <c r="ET93" s="297"/>
      <c r="EU93" s="297"/>
      <c r="EV93" s="132" t="str">
        <f>CONCATENATE("Sources : Insee, RP", 'Aides traitements'!$I$9, ", RP",'Aides traitements'!$I$10," et RP", 'Aides traitements'!$I$11," exploitations principales et complémentaires")</f>
        <v>Sources : Insee, RP2009, RP2014 et RP2020 exploitations principales et complémentaires</v>
      </c>
      <c r="EX93" s="139"/>
      <c r="EY93" s="139"/>
      <c r="EZ93" s="139"/>
      <c r="FA93" s="139"/>
      <c r="FB93" s="139"/>
      <c r="FC93" s="139"/>
      <c r="FD93" s="139"/>
      <c r="FE93" s="139"/>
      <c r="FF93" s="139"/>
      <c r="FG93" s="139"/>
      <c r="FH93" s="139"/>
      <c r="FI93" s="139"/>
      <c r="FJ93" s="139"/>
      <c r="FK93" s="139"/>
      <c r="FL93" s="139"/>
      <c r="FM93" s="139"/>
      <c r="FN93" s="139"/>
      <c r="FO93" s="139"/>
      <c r="FP93" s="139"/>
      <c r="FQ93" s="139"/>
      <c r="FR93" s="139"/>
      <c r="FS93" s="139"/>
      <c r="FT93" s="139"/>
      <c r="FU93" s="139"/>
      <c r="FV93" s="132" t="str">
        <f>CONCATENATE("Sources : Insee, RP", 'Aides traitements'!$I$9, ", RP",'Aides traitements'!$I$10," et RP", 'Aides traitements'!$I$11," exploitations principales et complémentaires")</f>
        <v>Sources : Insee, RP2009, RP2014 et RP2020 exploitations principales et complémentaires</v>
      </c>
      <c r="FX93" s="139"/>
      <c r="FY93" s="139"/>
      <c r="FZ93" s="139"/>
      <c r="GA93" s="63"/>
      <c r="GB93" s="139"/>
      <c r="GC93" s="139"/>
      <c r="GD93" s="139"/>
      <c r="GE93" s="63"/>
      <c r="GF93" s="63"/>
      <c r="GG93" s="63"/>
      <c r="GH93" s="63"/>
      <c r="GI93" s="63"/>
      <c r="GJ93" s="139"/>
      <c r="GK93" s="139"/>
      <c r="GL93" s="139"/>
      <c r="GM93" s="139"/>
      <c r="GN93" s="139"/>
      <c r="GO93" s="132" t="str">
        <f>CONCATENATE("Sources : Insee, RP", 'Aides traitements'!$I$9, ", RP",'Aides traitements'!$I$10," et RP", 'Aides traitements'!$I$11," exploitations principales et complémentaires")</f>
        <v>Sources : Insee, RP2009, RP2014 et RP2020 exploitations principales et complémentaires</v>
      </c>
      <c r="GQ93" s="139"/>
      <c r="GR93" s="139"/>
      <c r="GS93" s="139"/>
      <c r="GT93" s="139"/>
      <c r="GU93" s="139"/>
      <c r="GV93" s="139"/>
      <c r="GW93" s="139"/>
      <c r="GX93" s="139"/>
      <c r="GY93" s="139"/>
      <c r="GZ93" s="132" t="str">
        <f>CONCATENATE("Sources : Insee, RP", 'Aides traitements'!$I$9, ", RP",'Aides traitements'!$I$10," et RP", 'Aides traitements'!$I$11," exploitations principales et complémentaires")</f>
        <v>Sources : Insee, RP2009, RP2014 et RP2020 exploitations principales et complémentaires</v>
      </c>
      <c r="HB93" s="139"/>
      <c r="HC93" s="139"/>
      <c r="HD93" s="139"/>
      <c r="HE93" s="139"/>
      <c r="HF93" s="139"/>
      <c r="HG93" s="139"/>
      <c r="HH93" s="139"/>
      <c r="HI93" s="139"/>
      <c r="HJ93" s="139"/>
      <c r="HK93" s="132" t="str">
        <f>CONCATENATE("Sources : Insee, RP", 'Aides traitements'!$I$9, ", RP",'Aides traitements'!$I$10," et RP", 'Aides traitements'!$I$11," exploitations principales et complémentaires")</f>
        <v>Sources : Insee, RP2009, RP2014 et RP2020 exploitations principales et complémentaires</v>
      </c>
      <c r="HO93" s="139"/>
      <c r="HP93" s="139"/>
      <c r="HQ93" s="139"/>
      <c r="HR93" s="139"/>
      <c r="HS93" s="139"/>
      <c r="HT93" s="139"/>
      <c r="HU93" s="139"/>
      <c r="HV93" s="132" t="str">
        <f>CONCATENATE("Sources : Insee, RP", 'Aides traitements'!$I$9, ", RP",'Aides traitements'!$I$10," et RP", 'Aides traitements'!$I$11," exploitations principales et complémentaires")</f>
        <v>Sources : Insee, RP2009, RP2014 et RP2020 exploitations principales et complémentaires</v>
      </c>
      <c r="HW93" s="139"/>
      <c r="HX93" s="132"/>
      <c r="HY93" s="132"/>
      <c r="HZ93" s="132"/>
      <c r="IA93" s="132"/>
      <c r="IB93" s="132"/>
      <c r="IC93" s="139"/>
      <c r="ID93" s="139"/>
      <c r="IE93" s="139"/>
      <c r="IF93" s="139"/>
      <c r="IG93" s="139"/>
      <c r="IH93" s="139"/>
      <c r="II93" s="139"/>
      <c r="IJ93" s="139"/>
      <c r="IK93" s="139"/>
      <c r="IL93" s="139"/>
      <c r="IM93" s="139"/>
      <c r="IN93" s="139"/>
      <c r="IO93" s="139"/>
      <c r="IP93" s="132" t="str">
        <f>CONCATENATE("Sources : Insee, RP", 'Aides traitements'!$I$9, ", RP",'Aides traitements'!$I$10," et RP", 'Aides traitements'!$I$11," exploitations principales et complémentaires")</f>
        <v>Sources : Insee, RP2009, RP2014 et RP2020 exploitations principales et complémentaires</v>
      </c>
      <c r="IR93" s="132"/>
      <c r="IS93" s="139"/>
      <c r="IT93" s="139"/>
      <c r="IU93" s="139"/>
      <c r="IV93" s="139"/>
      <c r="IW93" s="139"/>
      <c r="IX93" s="139"/>
      <c r="IY93" s="139"/>
      <c r="IZ93" s="139"/>
      <c r="JA93" s="139"/>
      <c r="JB93" s="139"/>
      <c r="JC93" s="139"/>
      <c r="JD93" s="139"/>
      <c r="JE93" s="296"/>
      <c r="JF93" s="296"/>
      <c r="JG93" s="296"/>
      <c r="JH93" s="296"/>
      <c r="JI93" s="296"/>
      <c r="JJ93" s="139" t="str">
        <f>CONCATENATE("Sources : Insee, RP", 'Aides traitements'!$I$9, ", RP",'Aides traitements'!$I$10," et RP", 'Aides traitements'!$I$11," exploitations principales et complémentaires")</f>
        <v>Sources : Insee, RP2009, RP2014 et RP2020 exploitations principales et complémentaires</v>
      </c>
      <c r="JK93" s="139"/>
      <c r="JL93" s="132"/>
      <c r="JM93" s="139"/>
      <c r="JN93" s="139"/>
      <c r="JO93" s="139"/>
      <c r="JP93" s="63"/>
      <c r="JQ93" s="139"/>
      <c r="JR93" s="139"/>
      <c r="JS93" s="139"/>
      <c r="JT93" s="63"/>
      <c r="JU93" s="139"/>
      <c r="JV93" s="296"/>
      <c r="JW93" s="139"/>
      <c r="JX93" s="154" t="str">
        <f>CONCATENATE("Source : Insee, RP",'Aides traitements'!$I$11," exploitation principale et complémentaire")</f>
        <v>Source : Insee, RP2020 exploitation principale et complémentaire</v>
      </c>
      <c r="JY93" s="139"/>
      <c r="KA93" s="139"/>
      <c r="KB93" s="139"/>
      <c r="KC93" s="139"/>
      <c r="KD93" s="154" t="str">
        <f>CONCATENATE("Source : Insee, RP",'Aides traitements'!$I$11," exploitation principale et complémentaire")</f>
        <v>Source : Insee, RP2020 exploitation principale et complémentaire</v>
      </c>
      <c r="KE93" s="139"/>
      <c r="KF93" s="132"/>
      <c r="KG93" s="139"/>
      <c r="KH93" s="139"/>
      <c r="KI93" s="139"/>
      <c r="KJ93" s="139"/>
      <c r="KK93" s="139"/>
      <c r="KL93" s="139"/>
      <c r="KM93" s="139"/>
      <c r="KN93" s="139"/>
      <c r="KO93" s="139"/>
      <c r="KP93" s="139"/>
      <c r="KQ93" s="139"/>
      <c r="KR93" s="139"/>
      <c r="KS93" s="139"/>
      <c r="KT93" s="139"/>
      <c r="KU93" s="139"/>
      <c r="KV93" s="139"/>
      <c r="KW93" s="139"/>
      <c r="KX93" s="139" t="str">
        <f>CONCATENATE("Sources : Insee, RP", 'Aides traitements'!$I$9, ", RP",'Aides traitements'!$I$10," et RP", 'Aides traitements'!$I$11," exploitations principales et complémentaires")</f>
        <v>Sources : Insee, RP2009, RP2014 et RP2020 exploitations principales et complémentaires</v>
      </c>
      <c r="KY93" s="139"/>
      <c r="KZ93" s="132"/>
      <c r="LA93" s="164"/>
      <c r="LB93" s="164"/>
      <c r="LC93" s="164"/>
      <c r="LD93" s="164"/>
      <c r="LE93" s="164"/>
      <c r="LF93" s="164"/>
      <c r="LG93" s="164"/>
      <c r="LH93" s="164"/>
      <c r="LI93" s="139" t="str">
        <f>CONCATENATE("Sources : Insee, RP", 'Aides traitements'!$I$9, ", RP",'Aides traitements'!$I$10," et RP", 'Aides traitements'!$I$11," exploitations principales et complémentaires")</f>
        <v>Sources : Insee, RP2009, RP2014 et RP2020 exploitations principales et complémentaires</v>
      </c>
      <c r="LJ93" s="139"/>
      <c r="LK93" s="132"/>
      <c r="LL93" s="139"/>
      <c r="LM93" s="139"/>
      <c r="LN93" s="450"/>
      <c r="LO93" s="139"/>
      <c r="LP93" s="139"/>
      <c r="LQ93" s="139"/>
      <c r="LR93" s="139"/>
      <c r="LS93" s="139"/>
      <c r="LT93" s="450"/>
      <c r="LU93" s="139"/>
      <c r="LV93" s="139"/>
      <c r="LW93" s="139"/>
      <c r="LX93" s="139"/>
      <c r="LY93" s="139"/>
      <c r="LZ93" s="139"/>
      <c r="MA93" s="139"/>
      <c r="MB93" s="139"/>
      <c r="MC93" s="139" t="str">
        <f>CONCATENATE("Sources : Insee, RP", 'Aides traitements'!$I$9, ", RP",'Aides traitements'!$I$10," et RP", 'Aides traitements'!$I$11," exploitations principales et complémentaires")</f>
        <v>Sources : Insee, RP2009, RP2014 et RP2020 exploitations principales et complémentaires</v>
      </c>
      <c r="MD93" s="139"/>
      <c r="ME93" s="132"/>
      <c r="MF93" s="139"/>
      <c r="MG93" s="139"/>
      <c r="MH93" s="139"/>
      <c r="MI93" s="139"/>
      <c r="MJ93" s="139"/>
      <c r="MK93" s="139"/>
      <c r="ML93" s="139"/>
      <c r="MM93" s="139"/>
      <c r="MN93" s="139"/>
      <c r="MO93" s="139"/>
      <c r="MP93" s="139"/>
      <c r="MQ93" s="139"/>
      <c r="MR93" s="139"/>
      <c r="MS93" s="139"/>
      <c r="MT93" s="139"/>
      <c r="MU93" s="139"/>
      <c r="MV93" s="139"/>
      <c r="MW93" s="139" t="str">
        <f>CONCATENATE("Sources : Insee, RP", 'Aides traitements'!$I$9, ", RP",'Aides traitements'!$I$10," et RP", 'Aides traitements'!$I$11," exploitations principales et complémentaires")</f>
        <v>Sources : Insee, RP2009, RP2014 et RP2020 exploitations principales et complémentaires</v>
      </c>
      <c r="MX93" s="139"/>
      <c r="MY93" s="132"/>
      <c r="MZ93" s="139"/>
      <c r="NA93" s="139"/>
      <c r="NB93" s="139"/>
      <c r="NC93" s="808"/>
      <c r="ND93" s="808"/>
      <c r="NE93" s="808"/>
      <c r="NF93" s="808"/>
      <c r="NG93" s="609"/>
      <c r="NH93" s="139" t="str">
        <f>CONCATENATE("Sources : Insee, RP",'Aides traitements'!$I$10," et RP", 'Aides traitements'!$I$11," exploitations principales et complémentaires")</f>
        <v>Sources : Insee, RP2014 et RP2020 exploitations principales et complémentaires</v>
      </c>
      <c r="NI93" s="139"/>
      <c r="NJ93" s="132"/>
      <c r="NK93" s="139"/>
      <c r="NL93" s="139"/>
      <c r="NM93" s="139"/>
      <c r="NN93" s="139"/>
      <c r="NO93" s="139"/>
      <c r="NP93" s="139"/>
      <c r="NQ93" s="139"/>
      <c r="NR93" s="139"/>
      <c r="NS93" s="139"/>
      <c r="NT93" s="139" t="str">
        <f>CONCATENATE("Sources : Insee, RP",'Aides traitements'!$I$10," et RP", 'Aides traitements'!$I$11," exploitations principales et complémentaires")</f>
        <v>Sources : Insee, RP2014 et RP2020 exploitations principales et complémentaires</v>
      </c>
      <c r="NU93" s="139"/>
      <c r="NV93" s="132"/>
      <c r="NW93" s="139"/>
      <c r="NX93" s="139"/>
      <c r="NY93" s="139"/>
      <c r="NZ93" s="139"/>
      <c r="OA93" s="139"/>
      <c r="OB93" s="139"/>
      <c r="OC93" s="139"/>
      <c r="OD93" s="139" t="str">
        <f>CONCATENATE("Sources : Insee, RP", 'Aides traitements'!$I$11," exploitations principales et complémentaires")</f>
        <v>Sources : Insee, RP2020 exploitations principales et complémentaires</v>
      </c>
      <c r="OE93" s="139"/>
      <c r="OF93" s="132"/>
      <c r="OG93" s="132"/>
      <c r="OH93" s="139"/>
      <c r="OI93" s="139"/>
      <c r="OJ93" s="139"/>
      <c r="OK93" s="139"/>
      <c r="OL93" s="139"/>
      <c r="OM93" s="139"/>
      <c r="ON93" s="132"/>
      <c r="OO93" s="139"/>
      <c r="OP93" s="139"/>
      <c r="OQ93" s="139"/>
      <c r="OR93" s="139"/>
      <c r="OS93" s="139"/>
      <c r="OT93" s="139" t="str">
        <f>CONCATENATE("Sources : Insee, RP", 'Aides traitements'!$I$9, ", RP",'Aides traitements'!$I$10," et RP", 'Aides traitements'!$I$11," exploitations principales et complémentaires")</f>
        <v>Sources : Insee, RP2009, RP2014 et RP2020 exploitations principales et complémentaires</v>
      </c>
      <c r="OU93" s="139"/>
      <c r="OV93" s="132"/>
      <c r="OW93" s="132"/>
      <c r="OX93" s="139"/>
      <c r="OY93" s="139"/>
      <c r="OZ93" s="139"/>
      <c r="PA93" s="132"/>
      <c r="PB93" s="139"/>
      <c r="PC93" s="139"/>
      <c r="PD93" s="139"/>
      <c r="PE93" s="139"/>
      <c r="PF93" s="139"/>
      <c r="PG93" s="139"/>
      <c r="PH93" s="132" t="str">
        <f>CONCATENATE("Source : Insee, RP",'Aides traitements'!$I$11," exploitation principale et complémentaire")</f>
        <v>Source : Insee, RP2020 exploitation principale et complémentaire</v>
      </c>
      <c r="PI93" s="139"/>
      <c r="PK93" s="132"/>
      <c r="PL93" s="139"/>
      <c r="PM93" s="139"/>
      <c r="PN93" s="139"/>
      <c r="PO93" s="139"/>
      <c r="PP93" s="139"/>
      <c r="PQ93" s="139"/>
      <c r="PR93" s="132" t="str">
        <f>CONCATENATE("Sources : Insee, RP"," ",'Aides traitements'!$I$11," ","exploitation complémentaire")</f>
        <v>Sources : Insee, RP 2020 exploitation complémentaire</v>
      </c>
      <c r="PS93" s="65"/>
      <c r="PT93" s="65"/>
      <c r="PU93" s="65"/>
      <c r="PV93" s="65"/>
      <c r="PZ93" s="132" t="str">
        <f>CONCATENATE("Sources : Insee, RP"," ",'Aides traitements'!$I$11," ","exploitation complémentaire")</f>
        <v>Sources : Insee, RP 2020 exploitation complémentaire</v>
      </c>
      <c r="QA93" s="65"/>
      <c r="QB93" s="65"/>
      <c r="QC93" s="65"/>
      <c r="QE93" s="65"/>
    </row>
    <row r="94" spans="1:448" ht="15" customHeight="1">
      <c r="E94" s="429"/>
      <c r="F94" s="448"/>
      <c r="G94" s="449"/>
      <c r="H94" s="133"/>
      <c r="I94" s="133"/>
      <c r="J94" s="133"/>
      <c r="L94" s="132" t="s">
        <v>610</v>
      </c>
      <c r="V94" s="127"/>
      <c r="X94" s="132" t="s">
        <v>610</v>
      </c>
      <c r="AC94" s="429"/>
      <c r="AD94" s="429"/>
      <c r="AE94" s="429"/>
      <c r="AF94" s="429"/>
      <c r="AG94" s="429"/>
      <c r="AJ94" s="127"/>
      <c r="AO94" s="56"/>
      <c r="AP94" s="56"/>
      <c r="AQ94" s="56"/>
      <c r="AR94" s="56"/>
      <c r="AS94" s="56"/>
      <c r="AT94" s="56"/>
      <c r="AU94" s="56"/>
      <c r="AV94" s="56"/>
      <c r="AW94" s="56"/>
      <c r="AX94" s="56"/>
      <c r="AY94" s="56"/>
      <c r="AZ94" s="56"/>
      <c r="BA94" s="56"/>
      <c r="BB94" s="56"/>
      <c r="BC94" s="56"/>
      <c r="BD94" s="97"/>
      <c r="BE94" s="97"/>
      <c r="BF94" s="97"/>
      <c r="BG94" s="97"/>
      <c r="BH94" s="97"/>
      <c r="BI94" s="97"/>
      <c r="BJ94" s="97"/>
      <c r="BK94" s="97"/>
      <c r="BL94" s="97"/>
      <c r="BO94" s="626"/>
      <c r="BP94" s="97"/>
      <c r="BQ94" s="97"/>
      <c r="BR94" s="97"/>
      <c r="BS94" s="97"/>
      <c r="BT94" s="97"/>
      <c r="BU94" s="626"/>
      <c r="BV94" s="97"/>
      <c r="BW94" s="97"/>
      <c r="BX94" s="97"/>
      <c r="BY94" s="97"/>
      <c r="BZ94" s="97"/>
      <c r="CA94" s="626"/>
      <c r="CB94" s="626"/>
      <c r="CC94" s="626"/>
      <c r="CD94" s="626"/>
      <c r="CE94" s="626"/>
      <c r="CF94" s="626"/>
      <c r="CH94" s="63"/>
      <c r="CI94" s="63"/>
      <c r="CL94" s="63"/>
      <c r="CS94" s="426"/>
      <c r="CT94" s="426"/>
      <c r="CU94" s="426"/>
      <c r="CV94" s="426"/>
      <c r="CW94" s="426"/>
      <c r="CX94" s="426"/>
      <c r="CY94" s="426"/>
      <c r="CZ94" s="426"/>
      <c r="DA94" s="426"/>
      <c r="DG94" s="55"/>
      <c r="DH94" s="55"/>
      <c r="DI94" s="55"/>
      <c r="DJ94" s="55"/>
      <c r="DK94" s="55"/>
      <c r="DL94" s="55"/>
      <c r="DM94" s="55"/>
      <c r="EF94" s="63"/>
      <c r="EG94" s="63"/>
      <c r="EH94" s="63"/>
      <c r="EL94" s="153"/>
      <c r="EM94" s="153"/>
      <c r="EN94" s="153"/>
      <c r="EO94" s="153"/>
      <c r="EP94" s="153"/>
      <c r="ES94" s="55"/>
      <c r="ET94" s="55"/>
      <c r="EU94" s="55"/>
      <c r="GK94" s="429"/>
      <c r="GL94" s="429"/>
      <c r="GM94" s="429"/>
      <c r="GN94" s="429"/>
      <c r="GO94" s="63"/>
      <c r="GQ94" s="429"/>
      <c r="GR94" s="429"/>
      <c r="GS94" s="429"/>
      <c r="GT94" s="429"/>
      <c r="GU94" s="429"/>
      <c r="GV94" s="429"/>
      <c r="GW94" s="429"/>
      <c r="GX94" s="429"/>
      <c r="GY94" s="429"/>
      <c r="GZ94" s="429"/>
      <c r="HB94" s="429"/>
      <c r="HC94" s="429"/>
      <c r="HD94" s="429"/>
      <c r="HE94" s="429"/>
      <c r="HF94" s="429"/>
      <c r="HG94" s="429"/>
      <c r="HH94" s="429"/>
      <c r="HI94" s="429"/>
      <c r="HJ94" s="429"/>
      <c r="HL94" s="55"/>
      <c r="HM94" s="55"/>
      <c r="HN94" s="55"/>
      <c r="HO94" s="55"/>
      <c r="HP94" s="55"/>
      <c r="HQ94" s="55"/>
      <c r="HR94" s="55"/>
      <c r="HS94" s="55"/>
      <c r="HT94" s="55"/>
      <c r="HU94" s="55"/>
      <c r="HV94" s="55"/>
      <c r="HW94" s="429"/>
      <c r="IC94" s="429"/>
      <c r="ID94" s="429"/>
      <c r="IE94" s="429"/>
      <c r="IF94" s="429"/>
      <c r="IG94" s="429"/>
      <c r="IH94" s="429"/>
      <c r="II94" s="429"/>
      <c r="IJ94" s="429"/>
      <c r="IK94" s="429"/>
      <c r="IL94" s="429"/>
      <c r="IM94" s="429"/>
      <c r="IN94" s="429"/>
      <c r="IO94" s="429"/>
      <c r="IP94" s="429"/>
      <c r="JH94" s="452"/>
      <c r="JI94" s="452"/>
      <c r="JM94" s="127"/>
      <c r="JN94" s="127"/>
      <c r="JO94" s="127"/>
      <c r="JP94" s="127"/>
      <c r="JQ94" s="127"/>
      <c r="JR94" s="127"/>
      <c r="JS94" s="127"/>
      <c r="JT94" s="127"/>
      <c r="JU94" s="127"/>
      <c r="JV94" s="127"/>
      <c r="JW94" s="127"/>
      <c r="JX94" s="127"/>
      <c r="LI94" s="127"/>
      <c r="ME94" s="134"/>
      <c r="OF94" s="132"/>
      <c r="OG94" s="540"/>
      <c r="OH94" s="540"/>
      <c r="OI94" s="540"/>
      <c r="OJ94" s="540"/>
      <c r="OK94" s="540"/>
      <c r="OL94" s="540"/>
      <c r="OM94" s="540"/>
      <c r="OV94" s="132"/>
      <c r="OW94" s="132"/>
      <c r="PA94" s="132"/>
      <c r="PJ94" s="132"/>
      <c r="PK94" s="309"/>
      <c r="PL94" s="309"/>
      <c r="PM94" s="309"/>
      <c r="PN94" s="309"/>
      <c r="PO94" s="309"/>
      <c r="PP94" s="309"/>
      <c r="PQ94" s="309"/>
      <c r="PR94" s="65"/>
      <c r="PS94" s="65"/>
      <c r="PT94" s="65"/>
      <c r="PU94" s="65"/>
      <c r="PV94" s="65"/>
      <c r="PZ94" s="65"/>
      <c r="QA94" s="65"/>
      <c r="QB94" s="65"/>
      <c r="QC94" s="65"/>
      <c r="QE94" s="65"/>
    </row>
    <row r="95" spans="1:448" ht="15" customHeight="1">
      <c r="A95" s="139"/>
      <c r="B95" s="139"/>
      <c r="C95" s="139"/>
      <c r="D95" s="139"/>
      <c r="E95" s="139"/>
      <c r="F95" s="448"/>
      <c r="G95" s="449"/>
      <c r="H95" s="133"/>
      <c r="I95" s="133"/>
      <c r="J95" s="133"/>
      <c r="K95" s="139"/>
      <c r="W95" s="139"/>
      <c r="X95" s="139"/>
      <c r="Y95" s="625"/>
      <c r="Z95" s="625"/>
      <c r="AA95" s="625"/>
      <c r="AB95" s="625"/>
      <c r="AC95" s="296"/>
      <c r="AD95" s="296"/>
      <c r="AE95" s="296"/>
      <c r="AF95" s="296"/>
      <c r="AG95" s="296"/>
      <c r="AJ95" s="127"/>
      <c r="AO95" s="1328">
        <f>'Aides traitements'!$I$9</f>
        <v>2009</v>
      </c>
      <c r="AP95" s="1329"/>
      <c r="AQ95" s="1329"/>
      <c r="AR95" s="1329"/>
      <c r="AS95" s="1329"/>
      <c r="AT95" s="1329"/>
      <c r="AU95" s="1329"/>
      <c r="AV95" s="1268"/>
      <c r="AW95" s="1328">
        <f>'Aides traitements'!$I$10</f>
        <v>2014</v>
      </c>
      <c r="AX95" s="1329"/>
      <c r="AY95" s="1329"/>
      <c r="AZ95" s="1329"/>
      <c r="BA95" s="1329"/>
      <c r="BB95" s="1329"/>
      <c r="BC95" s="1329"/>
      <c r="BD95" s="1268"/>
      <c r="BE95" s="1338">
        <f>'Aides traitements'!$I$11</f>
        <v>2020</v>
      </c>
      <c r="BF95" s="1339"/>
      <c r="BG95" s="1339"/>
      <c r="BH95" s="1339"/>
      <c r="BI95" s="1339"/>
      <c r="BJ95" s="1339"/>
      <c r="BK95" s="1339"/>
      <c r="BL95" s="1340"/>
      <c r="BM95" s="139"/>
      <c r="BN95" s="139"/>
      <c r="BO95" s="1242">
        <f>'Aides traitements'!$I$9</f>
        <v>2009</v>
      </c>
      <c r="BP95" s="1260"/>
      <c r="BQ95" s="1260"/>
      <c r="BR95" s="1260"/>
      <c r="BS95" s="1260"/>
      <c r="BT95" s="1261"/>
      <c r="BU95" s="1242">
        <f>'Aides traitements'!$I$10</f>
        <v>2014</v>
      </c>
      <c r="BV95" s="1260"/>
      <c r="BW95" s="1260"/>
      <c r="BX95" s="1260"/>
      <c r="BY95" s="1260"/>
      <c r="BZ95" s="1261"/>
      <c r="CA95" s="1330">
        <f>'Aides traitements'!$I$11</f>
        <v>2020</v>
      </c>
      <c r="CB95" s="1331"/>
      <c r="CC95" s="1331"/>
      <c r="CD95" s="1331"/>
      <c r="CE95" s="1331"/>
      <c r="CF95" s="1332"/>
      <c r="CG95" s="139"/>
      <c r="CH95" s="63"/>
      <c r="CI95" s="1333">
        <f>'Aides traitements'!$I$9</f>
        <v>2009</v>
      </c>
      <c r="CJ95" s="1334"/>
      <c r="CK95" s="1334"/>
      <c r="CL95" s="1333">
        <f>'Aides traitements'!$I$10</f>
        <v>2014</v>
      </c>
      <c r="CM95" s="1334"/>
      <c r="CN95" s="1334"/>
      <c r="CO95" s="1335">
        <f>'Aides traitements'!$I$11</f>
        <v>2020</v>
      </c>
      <c r="CP95" s="1336"/>
      <c r="CQ95" s="1337"/>
      <c r="CR95" s="139"/>
      <c r="CS95" s="426"/>
      <c r="CT95" s="426"/>
      <c r="CU95" s="426"/>
      <c r="CV95" s="426"/>
      <c r="CW95" s="426"/>
      <c r="CX95" s="426"/>
      <c r="CY95" s="426"/>
      <c r="CZ95" s="426"/>
      <c r="DA95" s="426"/>
      <c r="DF95" s="164"/>
      <c r="DG95" s="55"/>
      <c r="DH95" s="55"/>
      <c r="DI95" s="55"/>
      <c r="DJ95" s="55"/>
      <c r="DK95" s="55"/>
      <c r="DL95" s="55"/>
      <c r="DM95" s="55"/>
      <c r="DO95" s="139"/>
      <c r="DP95" s="139"/>
      <c r="DQ95" s="139"/>
      <c r="DR95" s="139"/>
      <c r="DS95" s="139"/>
      <c r="DU95" s="139"/>
      <c r="DV95" s="139"/>
      <c r="DW95" s="139"/>
      <c r="DX95" s="139"/>
      <c r="DZ95" s="139"/>
      <c r="EA95" s="139"/>
      <c r="EB95" s="139"/>
      <c r="EC95" s="139"/>
      <c r="EE95" s="139"/>
      <c r="EF95" s="1242">
        <f>'Aides traitements'!$I$9</f>
        <v>2009</v>
      </c>
      <c r="EG95" s="1243"/>
      <c r="EH95" s="1243"/>
      <c r="EI95" s="1243"/>
      <c r="EJ95" s="1244"/>
      <c r="EK95" s="1242">
        <f>'Aides traitements'!$I$10</f>
        <v>2014</v>
      </c>
      <c r="EL95" s="1243"/>
      <c r="EM95" s="1243"/>
      <c r="EN95" s="1243"/>
      <c r="EO95" s="1243"/>
      <c r="EP95" s="1248">
        <f>'Aides traitements'!$I$11</f>
        <v>2020</v>
      </c>
      <c r="EQ95" s="1243"/>
      <c r="ER95" s="1243"/>
      <c r="ES95" s="1243"/>
      <c r="ET95" s="1244"/>
      <c r="EV95" s="139"/>
      <c r="EW95" s="1277">
        <f>'Aides traitements'!$I$9</f>
        <v>2009</v>
      </c>
      <c r="EX95" s="1256"/>
      <c r="EY95" s="1256"/>
      <c r="EZ95" s="1256"/>
      <c r="FA95" s="1258">
        <f>'Aides traitements'!$I$10</f>
        <v>2014</v>
      </c>
      <c r="FB95" s="1259"/>
      <c r="FC95" s="1259"/>
      <c r="FD95" s="1259"/>
      <c r="FE95" s="1346">
        <f>'Aides traitements'!$I$11</f>
        <v>2020</v>
      </c>
      <c r="FF95" s="1347"/>
      <c r="FG95" s="1347"/>
      <c r="FH95" s="1347"/>
      <c r="FJ95" s="139"/>
      <c r="FK95" s="139"/>
      <c r="FL95" s="139"/>
      <c r="FM95" s="139"/>
      <c r="FR95" s="139"/>
      <c r="FS95" s="139"/>
      <c r="FT95" s="139"/>
      <c r="FU95" s="139"/>
      <c r="FV95" s="139"/>
      <c r="FW95" s="1242">
        <f>'Aides traitements'!$I$9</f>
        <v>2009</v>
      </c>
      <c r="FX95" s="1243"/>
      <c r="FY95" s="1243"/>
      <c r="FZ95" s="1244"/>
      <c r="GA95" s="1242">
        <f>'Aides traitements'!$I$10</f>
        <v>2014</v>
      </c>
      <c r="GB95" s="1243"/>
      <c r="GC95" s="1243"/>
      <c r="GD95" s="1244"/>
      <c r="GE95" s="1248">
        <f>'Aides traitements'!$I$11</f>
        <v>2020</v>
      </c>
      <c r="GF95" s="1243"/>
      <c r="GG95" s="1243"/>
      <c r="GH95" s="1244"/>
      <c r="GJ95" s="139"/>
      <c r="GK95" s="296"/>
      <c r="GL95" s="296"/>
      <c r="GM95" s="296"/>
      <c r="GN95" s="296"/>
      <c r="GO95" s="139"/>
      <c r="GP95" s="1285">
        <f>'Aides traitements'!$I$9</f>
        <v>2009</v>
      </c>
      <c r="GQ95" s="1256"/>
      <c r="GR95" s="1257"/>
      <c r="GS95" s="1285">
        <f>'Aides traitements'!$I$10</f>
        <v>2014</v>
      </c>
      <c r="GT95" s="1256"/>
      <c r="GU95" s="1257"/>
      <c r="GV95" s="1301">
        <f>'Aides traitements'!$I$11</f>
        <v>2020</v>
      </c>
      <c r="GW95" s="1256"/>
      <c r="GX95" s="1257"/>
      <c r="GZ95" s="139"/>
      <c r="HA95" s="1285">
        <f>'Aides traitements'!$I$9</f>
        <v>2009</v>
      </c>
      <c r="HB95" s="1256"/>
      <c r="HC95" s="1257"/>
      <c r="HD95" s="1285">
        <f>'Aides traitements'!$I$10</f>
        <v>2014</v>
      </c>
      <c r="HE95" s="1256"/>
      <c r="HF95" s="1257"/>
      <c r="HG95" s="1245">
        <f>'Aides traitements'!$I$11</f>
        <v>2020</v>
      </c>
      <c r="HH95" s="1246"/>
      <c r="HI95" s="1247"/>
      <c r="HK95" s="139"/>
      <c r="HL95" s="55"/>
      <c r="HM95" s="55"/>
      <c r="HN95" s="55"/>
      <c r="HO95" s="55"/>
      <c r="HP95" s="55"/>
      <c r="HQ95" s="55"/>
      <c r="HR95" s="55"/>
      <c r="HS95" s="55"/>
      <c r="HT95" s="55"/>
      <c r="HU95" s="55"/>
      <c r="HV95" s="139"/>
      <c r="HW95" s="1285">
        <f>'Aides traitements'!$I$9</f>
        <v>2009</v>
      </c>
      <c r="HX95" s="1256"/>
      <c r="HY95" s="1256"/>
      <c r="HZ95" s="1256"/>
      <c r="IA95" s="1292">
        <f>'Aides traitements'!$I$10</f>
        <v>2014</v>
      </c>
      <c r="IB95" s="1256"/>
      <c r="IC95" s="1256"/>
      <c r="ID95" s="1256"/>
      <c r="IE95" s="1293">
        <f>'Aides traitements'!$I$11</f>
        <v>2020</v>
      </c>
      <c r="IF95" s="1293"/>
      <c r="IG95" s="1293"/>
      <c r="IH95" s="1293"/>
      <c r="II95" s="774"/>
      <c r="IP95" s="139"/>
      <c r="IQ95" s="1242">
        <f>'Aides traitements'!$I$9</f>
        <v>2009</v>
      </c>
      <c r="IR95" s="1260"/>
      <c r="IS95" s="1260"/>
      <c r="IT95" s="1260"/>
      <c r="IU95" s="1261"/>
      <c r="IW95" s="1242">
        <f>'Aides traitements'!$I$10</f>
        <v>2014</v>
      </c>
      <c r="IX95" s="1260"/>
      <c r="IY95" s="1260"/>
      <c r="IZ95" s="1260"/>
      <c r="JA95" s="1261"/>
      <c r="JC95" s="1358">
        <f>'Aides traitements'!$I$11</f>
        <v>2020</v>
      </c>
      <c r="JD95" s="1359"/>
      <c r="JE95" s="1359"/>
      <c r="JF95" s="1359"/>
      <c r="JG95" s="1360"/>
      <c r="JJ95" s="139"/>
      <c r="JK95" s="1242">
        <f>'Aides traitements'!$I$9</f>
        <v>2009</v>
      </c>
      <c r="JL95" s="1260"/>
      <c r="JM95" s="1260"/>
      <c r="JN95" s="1261"/>
      <c r="JO95" s="1242">
        <f>'Aides traitements'!$I$10</f>
        <v>2014</v>
      </c>
      <c r="JP95" s="1260"/>
      <c r="JQ95" s="1260"/>
      <c r="JR95" s="1261"/>
      <c r="JS95" s="1262">
        <f>'Aides traitements'!$I$11</f>
        <v>2020</v>
      </c>
      <c r="JT95" s="1262"/>
      <c r="JU95" s="1262"/>
      <c r="JV95" s="1262"/>
      <c r="JW95" s="768"/>
      <c r="JY95" s="139"/>
      <c r="JZ95" s="139"/>
      <c r="KA95" s="139"/>
      <c r="KB95" s="139"/>
      <c r="KC95" s="139"/>
      <c r="KD95" s="139"/>
      <c r="KE95" s="1251" t="s">
        <v>375</v>
      </c>
      <c r="KF95" s="1252"/>
      <c r="KG95" s="1252"/>
      <c r="KH95" s="1252"/>
      <c r="KI95" s="1252"/>
      <c r="KJ95" s="1253"/>
      <c r="KK95" s="1251" t="s">
        <v>376</v>
      </c>
      <c r="KL95" s="1252"/>
      <c r="KM95" s="1252"/>
      <c r="KN95" s="1252"/>
      <c r="KO95" s="1252"/>
      <c r="KP95" s="1253"/>
      <c r="KQ95" s="1251" t="s">
        <v>377</v>
      </c>
      <c r="KR95" s="1252"/>
      <c r="KS95" s="1252"/>
      <c r="KT95" s="1252"/>
      <c r="KU95" s="1252"/>
      <c r="KV95" s="1253"/>
      <c r="KX95" s="139"/>
      <c r="KY95" s="1285">
        <f>'Aides traitements'!$I$9</f>
        <v>2009</v>
      </c>
      <c r="KZ95" s="1292"/>
      <c r="LA95" s="1300"/>
      <c r="LB95" s="1285">
        <f>+'Aides traitements'!$I$10</f>
        <v>2014</v>
      </c>
      <c r="LC95" s="1292"/>
      <c r="LD95" s="1292"/>
      <c r="LE95" s="1301">
        <f>+'Aides traitements'!$I$11</f>
        <v>2020</v>
      </c>
      <c r="LF95" s="1302"/>
      <c r="LG95" s="1303"/>
      <c r="LH95" s="806"/>
      <c r="LJ95" s="1240">
        <f>'Aides traitements'!$I$9</f>
        <v>2009</v>
      </c>
      <c r="LK95" s="1241"/>
      <c r="LL95" s="1241"/>
      <c r="LM95" s="1241"/>
      <c r="LN95" s="1241"/>
      <c r="LO95" s="1254"/>
      <c r="LP95" s="1240">
        <f>'Aides traitements'!$I$10</f>
        <v>2014</v>
      </c>
      <c r="LQ95" s="1241"/>
      <c r="LR95" s="1241"/>
      <c r="LS95" s="1241"/>
      <c r="LT95" s="1241"/>
      <c r="LU95" s="1254"/>
      <c r="LV95" s="1304">
        <f>'Aides traitements'!$I$11</f>
        <v>2020</v>
      </c>
      <c r="LW95" s="1305"/>
      <c r="LX95" s="1305"/>
      <c r="LY95" s="1305"/>
      <c r="LZ95" s="1305"/>
      <c r="MA95" s="1306"/>
      <c r="MB95" s="139"/>
      <c r="MC95" s="139"/>
      <c r="MD95" s="1258">
        <f>'Aides traitements'!$I$9</f>
        <v>2009</v>
      </c>
      <c r="ME95" s="1258"/>
      <c r="MF95" s="1258"/>
      <c r="MG95" s="1258"/>
      <c r="MH95" s="1258"/>
      <c r="MI95" s="1258"/>
      <c r="MJ95" s="1277">
        <f>'Aides traitements'!$I$10</f>
        <v>2014</v>
      </c>
      <c r="MK95" s="1278"/>
      <c r="ML95" s="1278"/>
      <c r="MM95" s="1278"/>
      <c r="MN95" s="1278"/>
      <c r="MO95" s="1279"/>
      <c r="MP95" s="1294">
        <f>'Aides traitements'!$I$11</f>
        <v>2020</v>
      </c>
      <c r="MQ95" s="1295"/>
      <c r="MR95" s="1295"/>
      <c r="MS95" s="1295"/>
      <c r="MT95" s="1295"/>
      <c r="MU95" s="1296"/>
      <c r="MW95" s="139"/>
      <c r="MX95" s="1240">
        <f>+'Aides traitements'!$I$9</f>
        <v>2009</v>
      </c>
      <c r="MY95" s="1241"/>
      <c r="MZ95" s="1240">
        <f>+'Aides traitements'!$I$10</f>
        <v>2014</v>
      </c>
      <c r="NA95" s="1241"/>
      <c r="NB95" s="1290">
        <f>'Aides traitements'!$I$11</f>
        <v>2020</v>
      </c>
      <c r="NC95" s="1290"/>
      <c r="NE95" s="814"/>
      <c r="NF95" s="814"/>
      <c r="NG95" s="813"/>
      <c r="NI95" s="139"/>
      <c r="NJ95" s="139"/>
      <c r="NK95" s="139"/>
      <c r="NL95" s="139"/>
      <c r="NM95" s="139"/>
      <c r="NN95" s="139"/>
      <c r="NO95" s="139"/>
      <c r="NP95" s="139"/>
      <c r="NQ95" s="139"/>
      <c r="NR95" s="139"/>
      <c r="NS95" s="139"/>
      <c r="NT95" s="139"/>
      <c r="NU95" s="139"/>
      <c r="NV95" s="139"/>
      <c r="NW95" s="139"/>
      <c r="NX95" s="139"/>
      <c r="NY95" s="139"/>
      <c r="NZ95" s="139"/>
      <c r="OA95" s="139"/>
      <c r="OB95" s="139"/>
      <c r="OC95" s="139"/>
      <c r="OD95" s="139"/>
      <c r="OE95" s="139"/>
      <c r="OF95" s="132"/>
      <c r="OG95" s="132"/>
      <c r="OH95" s="139"/>
      <c r="OI95" s="139"/>
      <c r="OJ95" s="540"/>
      <c r="OK95" s="540"/>
      <c r="OL95" s="139"/>
      <c r="OM95" s="139"/>
      <c r="ON95" s="139"/>
      <c r="OO95" s="139"/>
      <c r="OP95" s="139"/>
      <c r="OQ95" s="139"/>
      <c r="OT95" s="139"/>
      <c r="OU95" s="1328">
        <f>'Aides traitements'!$I$9</f>
        <v>2009</v>
      </c>
      <c r="OV95" s="1371"/>
      <c r="OW95" s="1371"/>
      <c r="OX95" s="1372"/>
      <c r="OY95" s="1328">
        <f>'Aides traitements'!$I$10</f>
        <v>2014</v>
      </c>
      <c r="OZ95" s="1371"/>
      <c r="PA95" s="1371"/>
      <c r="PB95" s="1372"/>
      <c r="PC95" s="1351">
        <f>'Aides traitements'!$I$11</f>
        <v>2020</v>
      </c>
      <c r="PD95" s="1351"/>
      <c r="PE95" s="1351"/>
      <c r="PF95" s="1351"/>
      <c r="PI95" s="1352" t="s">
        <v>273</v>
      </c>
      <c r="PJ95" s="1353"/>
      <c r="PK95" s="1353"/>
      <c r="PL95" s="1354"/>
      <c r="PM95" s="1355" t="s">
        <v>274</v>
      </c>
      <c r="PN95" s="1356"/>
      <c r="PO95" s="1356"/>
      <c r="PP95" s="1357"/>
    </row>
    <row r="96" spans="1:448" ht="65.400000000000006" customHeight="1">
      <c r="A96" s="139"/>
      <c r="B96" s="139"/>
      <c r="C96" s="377">
        <f>'Aides traitements'!I9</f>
        <v>2009</v>
      </c>
      <c r="D96" s="377">
        <f>'Aides traitements'!I10</f>
        <v>2014</v>
      </c>
      <c r="E96" s="354">
        <f>'Aides traitements'!$I$11</f>
        <v>2020</v>
      </c>
      <c r="F96" s="139"/>
      <c r="G96" s="133"/>
      <c r="H96" s="133"/>
      <c r="I96" s="133"/>
      <c r="J96" s="133"/>
      <c r="K96" s="139"/>
      <c r="W96" s="139"/>
      <c r="X96" s="139"/>
      <c r="Y96" s="625"/>
      <c r="Z96" s="625"/>
      <c r="AA96" s="625"/>
      <c r="AB96" s="625"/>
      <c r="AC96" s="296"/>
      <c r="AD96" s="296"/>
      <c r="AE96" s="296"/>
      <c r="AF96" s="296"/>
      <c r="AG96" s="296"/>
      <c r="AJ96" s="127"/>
      <c r="AO96" s="414" t="s">
        <v>289</v>
      </c>
      <c r="AP96" s="355" t="s">
        <v>290</v>
      </c>
      <c r="AQ96" s="355" t="s">
        <v>291</v>
      </c>
      <c r="AR96" s="355" t="s">
        <v>292</v>
      </c>
      <c r="AS96" s="355" t="s">
        <v>77</v>
      </c>
      <c r="AT96" s="355" t="s">
        <v>78</v>
      </c>
      <c r="AU96" s="355" t="s">
        <v>204</v>
      </c>
      <c r="AV96" s="356" t="s">
        <v>293</v>
      </c>
      <c r="AW96" s="414" t="s">
        <v>289</v>
      </c>
      <c r="AX96" s="355" t="s">
        <v>290</v>
      </c>
      <c r="AY96" s="355" t="s">
        <v>291</v>
      </c>
      <c r="AZ96" s="355" t="s">
        <v>292</v>
      </c>
      <c r="BA96" s="355" t="s">
        <v>77</v>
      </c>
      <c r="BB96" s="355" t="s">
        <v>78</v>
      </c>
      <c r="BC96" s="355" t="s">
        <v>204</v>
      </c>
      <c r="BD96" s="356" t="s">
        <v>293</v>
      </c>
      <c r="BE96" s="357" t="s">
        <v>75</v>
      </c>
      <c r="BF96" s="358" t="s">
        <v>202</v>
      </c>
      <c r="BG96" s="358" t="s">
        <v>203</v>
      </c>
      <c r="BH96" s="358" t="s">
        <v>79</v>
      </c>
      <c r="BI96" s="358" t="s">
        <v>77</v>
      </c>
      <c r="BJ96" s="358" t="s">
        <v>78</v>
      </c>
      <c r="BK96" s="358" t="s">
        <v>204</v>
      </c>
      <c r="BL96" s="359" t="s">
        <v>205</v>
      </c>
      <c r="BM96" s="139"/>
      <c r="BN96" s="139"/>
      <c r="BO96" s="414" t="s">
        <v>332</v>
      </c>
      <c r="BP96" s="415" t="s">
        <v>333</v>
      </c>
      <c r="BQ96" s="415" t="s">
        <v>334</v>
      </c>
      <c r="BR96" s="415" t="s">
        <v>335</v>
      </c>
      <c r="BS96" s="415" t="s">
        <v>337</v>
      </c>
      <c r="BT96" s="415" t="s">
        <v>336</v>
      </c>
      <c r="BU96" s="414" t="s">
        <v>332</v>
      </c>
      <c r="BV96" s="415" t="s">
        <v>333</v>
      </c>
      <c r="BW96" s="415" t="s">
        <v>334</v>
      </c>
      <c r="BX96" s="415" t="s">
        <v>335</v>
      </c>
      <c r="BY96" s="415" t="s">
        <v>337</v>
      </c>
      <c r="BZ96" s="415" t="s">
        <v>336</v>
      </c>
      <c r="CA96" s="544" t="s">
        <v>332</v>
      </c>
      <c r="CB96" s="545" t="s">
        <v>333</v>
      </c>
      <c r="CC96" s="545" t="s">
        <v>334</v>
      </c>
      <c r="CD96" s="545" t="s">
        <v>335</v>
      </c>
      <c r="CE96" s="545" t="s">
        <v>337</v>
      </c>
      <c r="CF96" s="546" t="s">
        <v>336</v>
      </c>
      <c r="CG96" s="139"/>
      <c r="CH96" s="63"/>
      <c r="CI96" s="445" t="s">
        <v>53</v>
      </c>
      <c r="CJ96" s="447" t="s">
        <v>54</v>
      </c>
      <c r="CK96" s="446" t="s">
        <v>55</v>
      </c>
      <c r="CL96" s="445" t="s">
        <v>53</v>
      </c>
      <c r="CM96" s="447" t="s">
        <v>54</v>
      </c>
      <c r="CN96" s="446" t="s">
        <v>55</v>
      </c>
      <c r="CO96" s="397" t="s">
        <v>53</v>
      </c>
      <c r="CP96" s="398" t="s">
        <v>54</v>
      </c>
      <c r="CQ96" s="399" t="s">
        <v>55</v>
      </c>
      <c r="CR96" s="139"/>
      <c r="CS96" s="426"/>
      <c r="CT96" s="426"/>
      <c r="CU96" s="426"/>
      <c r="CV96" s="426"/>
      <c r="CW96" s="426"/>
      <c r="DF96" s="164"/>
      <c r="DG96" s="55"/>
      <c r="DH96" s="55"/>
      <c r="DI96" s="55"/>
      <c r="DJ96" s="55"/>
      <c r="DK96" s="55"/>
      <c r="DL96" s="55"/>
      <c r="DM96" s="55"/>
      <c r="DO96" s="139"/>
      <c r="DP96" s="139"/>
      <c r="DQ96" s="139"/>
      <c r="DR96" s="139"/>
      <c r="DS96" s="139"/>
      <c r="DU96" s="139"/>
      <c r="DV96" s="139"/>
      <c r="DW96" s="139"/>
      <c r="DX96" s="139"/>
      <c r="DZ96" s="139"/>
      <c r="EA96" s="139"/>
      <c r="EB96" s="139"/>
      <c r="EC96" s="139"/>
      <c r="EE96" s="139"/>
      <c r="EF96" s="364" t="s">
        <v>63</v>
      </c>
      <c r="EG96" s="365" t="s">
        <v>64</v>
      </c>
      <c r="EH96" s="365" t="s">
        <v>254</v>
      </c>
      <c r="EI96" s="365" t="s">
        <v>60</v>
      </c>
      <c r="EJ96" s="365" t="s">
        <v>61</v>
      </c>
      <c r="EK96" s="364" t="s">
        <v>63</v>
      </c>
      <c r="EL96" s="365" t="s">
        <v>64</v>
      </c>
      <c r="EM96" s="365" t="s">
        <v>254</v>
      </c>
      <c r="EN96" s="365" t="s">
        <v>60</v>
      </c>
      <c r="EO96" s="365" t="s">
        <v>61</v>
      </c>
      <c r="EP96" s="366" t="s">
        <v>253</v>
      </c>
      <c r="EQ96" s="367" t="s">
        <v>64</v>
      </c>
      <c r="ER96" s="367" t="s">
        <v>254</v>
      </c>
      <c r="ES96" s="367" t="s">
        <v>60</v>
      </c>
      <c r="ET96" s="368" t="s">
        <v>61</v>
      </c>
      <c r="EV96" s="139"/>
      <c r="EW96" s="369" t="s">
        <v>626</v>
      </c>
      <c r="EX96" s="370" t="s">
        <v>627</v>
      </c>
      <c r="EY96" s="370" t="s">
        <v>628</v>
      </c>
      <c r="EZ96" s="370" t="s">
        <v>629</v>
      </c>
      <c r="FA96" s="369" t="s">
        <v>626</v>
      </c>
      <c r="FB96" s="370" t="s">
        <v>627</v>
      </c>
      <c r="FC96" s="370" t="s">
        <v>628</v>
      </c>
      <c r="FD96" s="370" t="s">
        <v>629</v>
      </c>
      <c r="FE96" s="741" t="s">
        <v>626</v>
      </c>
      <c r="FF96" s="742" t="s">
        <v>627</v>
      </c>
      <c r="FG96" s="742" t="s">
        <v>628</v>
      </c>
      <c r="FH96" s="742" t="s">
        <v>629</v>
      </c>
      <c r="FJ96" s="139"/>
      <c r="FK96" s="139"/>
      <c r="FL96" s="139"/>
      <c r="FM96" s="139"/>
      <c r="FR96" s="139"/>
      <c r="FS96" s="139"/>
      <c r="FT96" s="139"/>
      <c r="FU96" s="139"/>
      <c r="FV96" s="139"/>
      <c r="FW96" s="414" t="s">
        <v>56</v>
      </c>
      <c r="FX96" s="415" t="s">
        <v>57</v>
      </c>
      <c r="FY96" s="415" t="s">
        <v>58</v>
      </c>
      <c r="FZ96" s="415" t="s">
        <v>59</v>
      </c>
      <c r="GA96" s="414" t="s">
        <v>56</v>
      </c>
      <c r="GB96" s="415" t="s">
        <v>57</v>
      </c>
      <c r="GC96" s="415" t="s">
        <v>58</v>
      </c>
      <c r="GD96" s="415" t="s">
        <v>59</v>
      </c>
      <c r="GE96" s="419" t="s">
        <v>56</v>
      </c>
      <c r="GF96" s="420" t="s">
        <v>57</v>
      </c>
      <c r="GG96" s="420" t="s">
        <v>58</v>
      </c>
      <c r="GH96" s="421" t="s">
        <v>59</v>
      </c>
      <c r="GJ96" s="139"/>
      <c r="GK96" s="296"/>
      <c r="GL96" s="296"/>
      <c r="GM96" s="296"/>
      <c r="GN96" s="296"/>
      <c r="GO96" s="139"/>
      <c r="GP96" s="720" t="s">
        <v>41</v>
      </c>
      <c r="GQ96" s="722" t="s">
        <v>344</v>
      </c>
      <c r="GR96" s="721" t="s">
        <v>343</v>
      </c>
      <c r="GS96" s="720" t="s">
        <v>41</v>
      </c>
      <c r="GT96" s="722" t="s">
        <v>344</v>
      </c>
      <c r="GU96" s="721" t="s">
        <v>343</v>
      </c>
      <c r="GV96" s="372" t="s">
        <v>41</v>
      </c>
      <c r="GW96" s="373" t="s">
        <v>344</v>
      </c>
      <c r="GX96" s="374" t="s">
        <v>343</v>
      </c>
      <c r="GZ96" s="139"/>
      <c r="HA96" s="1071" t="s">
        <v>52</v>
      </c>
      <c r="HB96" s="761" t="s">
        <v>40</v>
      </c>
      <c r="HC96" s="1072" t="s">
        <v>255</v>
      </c>
      <c r="HD96" s="1071" t="s">
        <v>52</v>
      </c>
      <c r="HE96" s="761" t="s">
        <v>40</v>
      </c>
      <c r="HF96" s="1072" t="s">
        <v>255</v>
      </c>
      <c r="HG96" s="372" t="s">
        <v>52</v>
      </c>
      <c r="HH96" s="373" t="s">
        <v>40</v>
      </c>
      <c r="HI96" s="374" t="s">
        <v>255</v>
      </c>
      <c r="HK96" s="139"/>
      <c r="HL96" s="55"/>
      <c r="HM96" s="55"/>
      <c r="HN96" s="55"/>
      <c r="HO96" s="55"/>
      <c r="HP96" s="55"/>
      <c r="HQ96" s="55"/>
      <c r="HR96" s="55"/>
      <c r="HS96" s="55"/>
      <c r="HT96" s="55"/>
      <c r="HU96" s="55"/>
      <c r="HV96" s="139"/>
      <c r="HW96" s="720" t="s">
        <v>52</v>
      </c>
      <c r="HX96" s="770" t="s">
        <v>632</v>
      </c>
      <c r="HY96" s="722" t="s">
        <v>40</v>
      </c>
      <c r="HZ96" s="771" t="s">
        <v>633</v>
      </c>
      <c r="IA96" s="720" t="s">
        <v>52</v>
      </c>
      <c r="IB96" s="770" t="s">
        <v>632</v>
      </c>
      <c r="IC96" s="722" t="s">
        <v>40</v>
      </c>
      <c r="ID96" s="771" t="s">
        <v>633</v>
      </c>
      <c r="IE96" s="372" t="s">
        <v>52</v>
      </c>
      <c r="IF96" s="373" t="s">
        <v>632</v>
      </c>
      <c r="IG96" s="373" t="s">
        <v>40</v>
      </c>
      <c r="IH96" s="374" t="s">
        <v>635</v>
      </c>
      <c r="IP96" s="139"/>
      <c r="IQ96" s="755" t="s">
        <v>208</v>
      </c>
      <c r="IR96" s="756" t="s">
        <v>209</v>
      </c>
      <c r="IS96" s="756" t="s">
        <v>210</v>
      </c>
      <c r="IT96" s="756" t="s">
        <v>211</v>
      </c>
      <c r="IU96" s="757" t="s">
        <v>212</v>
      </c>
      <c r="IV96" s="139"/>
      <c r="IW96" s="755" t="s">
        <v>208</v>
      </c>
      <c r="IX96" s="756" t="s">
        <v>209</v>
      </c>
      <c r="IY96" s="756" t="s">
        <v>210</v>
      </c>
      <c r="IZ96" s="756" t="s">
        <v>211</v>
      </c>
      <c r="JA96" s="757" t="s">
        <v>212</v>
      </c>
      <c r="JB96" s="139"/>
      <c r="JC96" s="758" t="s">
        <v>208</v>
      </c>
      <c r="JD96" s="759" t="s">
        <v>209</v>
      </c>
      <c r="JE96" s="759" t="s">
        <v>210</v>
      </c>
      <c r="JF96" s="759" t="s">
        <v>211</v>
      </c>
      <c r="JG96" s="760" t="s">
        <v>212</v>
      </c>
      <c r="JH96" s="139"/>
      <c r="JJ96" s="139"/>
      <c r="JK96" s="755" t="s">
        <v>42</v>
      </c>
      <c r="JL96" s="756" t="s">
        <v>45</v>
      </c>
      <c r="JM96" s="756" t="s">
        <v>43</v>
      </c>
      <c r="JN96" s="756" t="s">
        <v>44</v>
      </c>
      <c r="JO96" s="755" t="s">
        <v>42</v>
      </c>
      <c r="JP96" s="756" t="s">
        <v>45</v>
      </c>
      <c r="JQ96" s="756" t="s">
        <v>43</v>
      </c>
      <c r="JR96" s="756" t="s">
        <v>44</v>
      </c>
      <c r="JS96" s="758" t="s">
        <v>42</v>
      </c>
      <c r="JT96" s="759" t="s">
        <v>45</v>
      </c>
      <c r="JU96" s="759" t="s">
        <v>43</v>
      </c>
      <c r="JV96" s="760" t="s">
        <v>44</v>
      </c>
      <c r="JW96" s="139"/>
      <c r="JX96" s="139"/>
      <c r="JY96" s="924" t="s">
        <v>47</v>
      </c>
      <c r="JZ96" s="925" t="s">
        <v>48</v>
      </c>
      <c r="KA96" s="925" t="s">
        <v>49</v>
      </c>
      <c r="KB96" s="926" t="s">
        <v>614</v>
      </c>
      <c r="KD96" s="139"/>
      <c r="KE96" s="758" t="s">
        <v>296</v>
      </c>
      <c r="KF96" s="759" t="s">
        <v>297</v>
      </c>
      <c r="KG96" s="759" t="s">
        <v>298</v>
      </c>
      <c r="KH96" s="759" t="s">
        <v>299</v>
      </c>
      <c r="KI96" s="759" t="s">
        <v>300</v>
      </c>
      <c r="KJ96" s="376" t="s">
        <v>715</v>
      </c>
      <c r="KK96" s="758" t="s">
        <v>296</v>
      </c>
      <c r="KL96" s="759" t="s">
        <v>297</v>
      </c>
      <c r="KM96" s="759" t="s">
        <v>298</v>
      </c>
      <c r="KN96" s="759" t="s">
        <v>299</v>
      </c>
      <c r="KO96" s="759" t="s">
        <v>300</v>
      </c>
      <c r="KP96" s="376" t="s">
        <v>715</v>
      </c>
      <c r="KQ96" s="758" t="s">
        <v>296</v>
      </c>
      <c r="KR96" s="759" t="s">
        <v>297</v>
      </c>
      <c r="KS96" s="759" t="s">
        <v>298</v>
      </c>
      <c r="KT96" s="759" t="s">
        <v>299</v>
      </c>
      <c r="KU96" s="759" t="s">
        <v>300</v>
      </c>
      <c r="KV96" s="760" t="s">
        <v>715</v>
      </c>
      <c r="KX96" s="164"/>
      <c r="KY96" s="763" t="s">
        <v>80</v>
      </c>
      <c r="KZ96" s="761" t="s">
        <v>81</v>
      </c>
      <c r="LA96" s="762" t="s">
        <v>82</v>
      </c>
      <c r="LB96" s="763" t="s">
        <v>80</v>
      </c>
      <c r="LC96" s="761" t="s">
        <v>81</v>
      </c>
      <c r="LD96" s="762" t="s">
        <v>82</v>
      </c>
      <c r="LE96" s="372" t="s">
        <v>80</v>
      </c>
      <c r="LF96" s="373" t="s">
        <v>81</v>
      </c>
      <c r="LG96" s="374" t="s">
        <v>82</v>
      </c>
      <c r="LH96" s="139"/>
      <c r="LI96" s="139"/>
      <c r="LJ96" s="369" t="s">
        <v>222</v>
      </c>
      <c r="LK96" s="370" t="s">
        <v>192</v>
      </c>
      <c r="LL96" s="370" t="s">
        <v>220</v>
      </c>
      <c r="LM96" s="370" t="s">
        <v>459</v>
      </c>
      <c r="LN96" s="370" t="s">
        <v>262</v>
      </c>
      <c r="LO96" s="371" t="s">
        <v>221</v>
      </c>
      <c r="LP96" s="802" t="s">
        <v>222</v>
      </c>
      <c r="LQ96" s="370" t="s">
        <v>192</v>
      </c>
      <c r="LR96" s="370" t="s">
        <v>220</v>
      </c>
      <c r="LS96" s="370" t="s">
        <v>459</v>
      </c>
      <c r="LT96" s="370" t="s">
        <v>262</v>
      </c>
      <c r="LU96" s="371" t="s">
        <v>221</v>
      </c>
      <c r="LV96" s="378" t="s">
        <v>222</v>
      </c>
      <c r="LW96" s="379" t="s">
        <v>192</v>
      </c>
      <c r="LX96" s="379" t="s">
        <v>220</v>
      </c>
      <c r="LY96" s="379" t="s">
        <v>459</v>
      </c>
      <c r="LZ96" s="379" t="s">
        <v>262</v>
      </c>
      <c r="MA96" s="380" t="s">
        <v>221</v>
      </c>
      <c r="MB96" s="139"/>
      <c r="MC96" s="134"/>
      <c r="MD96" s="369" t="s">
        <v>75</v>
      </c>
      <c r="ME96" s="370" t="s">
        <v>263</v>
      </c>
      <c r="MF96" s="370" t="s">
        <v>264</v>
      </c>
      <c r="MG96" s="370" t="s">
        <v>79</v>
      </c>
      <c r="MH96" s="370" t="s">
        <v>77</v>
      </c>
      <c r="MI96" s="371" t="s">
        <v>78</v>
      </c>
      <c r="MJ96" s="369" t="s">
        <v>75</v>
      </c>
      <c r="MK96" s="370" t="s">
        <v>263</v>
      </c>
      <c r="ML96" s="370" t="s">
        <v>264</v>
      </c>
      <c r="MM96" s="370" t="s">
        <v>79</v>
      </c>
      <c r="MN96" s="370" t="s">
        <v>77</v>
      </c>
      <c r="MO96" s="371" t="s">
        <v>78</v>
      </c>
      <c r="MP96" s="378" t="s">
        <v>75</v>
      </c>
      <c r="MQ96" s="379" t="s">
        <v>263</v>
      </c>
      <c r="MR96" s="379" t="s">
        <v>264</v>
      </c>
      <c r="MS96" s="379" t="s">
        <v>79</v>
      </c>
      <c r="MT96" s="379" t="s">
        <v>77</v>
      </c>
      <c r="MU96" s="380" t="s">
        <v>78</v>
      </c>
      <c r="MV96" s="139"/>
      <c r="MW96" s="139"/>
      <c r="MX96" s="369" t="s">
        <v>66</v>
      </c>
      <c r="MY96" s="410" t="s">
        <v>67</v>
      </c>
      <c r="MZ96" s="409" t="s">
        <v>66</v>
      </c>
      <c r="NA96" s="410" t="s">
        <v>67</v>
      </c>
      <c r="NB96" s="412" t="s">
        <v>66</v>
      </c>
      <c r="NC96" s="413" t="s">
        <v>67</v>
      </c>
      <c r="ND96" s="139"/>
      <c r="NF96" s="139"/>
      <c r="NG96" s="139"/>
      <c r="NH96" s="139"/>
      <c r="NI96" s="139"/>
      <c r="NJ96" s="139"/>
      <c r="NK96" s="139"/>
      <c r="NL96" s="139"/>
      <c r="NM96" s="139"/>
      <c r="NN96" s="139"/>
      <c r="NO96" s="139"/>
      <c r="NP96" s="139"/>
      <c r="NQ96" s="139"/>
      <c r="NR96" s="139"/>
      <c r="NS96" s="139"/>
      <c r="NT96" s="139"/>
      <c r="NU96" s="139"/>
      <c r="NV96" s="139"/>
      <c r="NW96" s="139"/>
      <c r="NX96" s="139"/>
      <c r="NY96" s="139"/>
      <c r="NZ96" s="139"/>
      <c r="OA96" s="139"/>
      <c r="OB96" s="132"/>
      <c r="OC96" s="132"/>
      <c r="OD96" s="139"/>
      <c r="OE96" s="139"/>
      <c r="OF96" s="450"/>
      <c r="OG96" s="296"/>
      <c r="OH96" s="139"/>
      <c r="OI96" s="139"/>
      <c r="OJ96" s="139"/>
      <c r="OK96" s="139"/>
      <c r="OL96" s="139"/>
      <c r="OM96" s="139"/>
      <c r="ON96" s="296"/>
      <c r="OO96" s="139"/>
      <c r="OP96" s="139"/>
      <c r="OQ96" s="139"/>
      <c r="OT96" s="132"/>
      <c r="OU96" s="369" t="s">
        <v>294</v>
      </c>
      <c r="OV96" s="370" t="s">
        <v>288</v>
      </c>
      <c r="OW96" s="370" t="s">
        <v>447</v>
      </c>
      <c r="OX96" s="371" t="s">
        <v>302</v>
      </c>
      <c r="OY96" s="369" t="s">
        <v>294</v>
      </c>
      <c r="OZ96" s="370" t="s">
        <v>288</v>
      </c>
      <c r="PA96" s="370" t="s">
        <v>447</v>
      </c>
      <c r="PB96" s="371" t="s">
        <v>302</v>
      </c>
      <c r="PC96" s="381" t="s">
        <v>294</v>
      </c>
      <c r="PD96" s="382" t="s">
        <v>288</v>
      </c>
      <c r="PE96" s="382" t="s">
        <v>447</v>
      </c>
      <c r="PF96" s="383" t="s">
        <v>302</v>
      </c>
      <c r="PG96" s="139"/>
      <c r="PH96" s="55"/>
      <c r="PI96" s="381" t="s">
        <v>294</v>
      </c>
      <c r="PJ96" s="382" t="s">
        <v>288</v>
      </c>
      <c r="PK96" s="382" t="s">
        <v>447</v>
      </c>
      <c r="PL96" s="383" t="s">
        <v>302</v>
      </c>
      <c r="PM96" s="381" t="s">
        <v>294</v>
      </c>
      <c r="PN96" s="382" t="s">
        <v>288</v>
      </c>
      <c r="PO96" s="382" t="s">
        <v>447</v>
      </c>
      <c r="PP96" s="383" t="s">
        <v>302</v>
      </c>
      <c r="PQ96" s="65"/>
      <c r="PR96" s="65"/>
      <c r="PS96" s="1180" t="s">
        <v>677</v>
      </c>
      <c r="PT96" s="1181" t="s">
        <v>678</v>
      </c>
      <c r="PU96" s="1181" t="s">
        <v>709</v>
      </c>
      <c r="PV96" s="1181" t="s">
        <v>710</v>
      </c>
      <c r="PW96" s="1182" t="s">
        <v>711</v>
      </c>
      <c r="PX96" s="1183" t="s">
        <v>712</v>
      </c>
      <c r="PZ96" s="65"/>
      <c r="QA96" s="1050" t="s">
        <v>699</v>
      </c>
      <c r="QB96" s="1051" t="s">
        <v>700</v>
      </c>
      <c r="QC96" s="1111" t="s">
        <v>695</v>
      </c>
      <c r="QD96" s="1111" t="s">
        <v>696</v>
      </c>
      <c r="QE96" s="1111" t="s">
        <v>697</v>
      </c>
      <c r="QF96" s="1112" t="s">
        <v>698</v>
      </c>
    </row>
    <row r="97" spans="1:448" ht="26.25" customHeight="1">
      <c r="A97" s="136"/>
      <c r="B97" s="601" t="str">
        <f>INDEX('Aides traitements'!$A$5:$A$58,'Page de garde'!$C$4,1)</f>
        <v>Paul Bert</v>
      </c>
      <c r="C97" s="175">
        <f>VLOOKUP($B97,$B9:$E91,2,FALSE)</f>
        <v>2925.7418859999998</v>
      </c>
      <c r="D97" s="175">
        <f>VLOOKUP($B97,$B9:$E91,3,FALSE)</f>
        <v>3195.6356909183669</v>
      </c>
      <c r="E97" s="176">
        <f>VLOOKUP($B97,$B9:$E91,4,FALSE)</f>
        <v>3398.7246474081298</v>
      </c>
      <c r="F97" s="136"/>
      <c r="G97" s="136"/>
      <c r="H97" s="136"/>
      <c r="I97" s="136"/>
      <c r="J97" s="136"/>
      <c r="K97" s="136"/>
      <c r="L97" s="177"/>
      <c r="M97" s="177"/>
      <c r="N97" s="177"/>
      <c r="O97" s="177"/>
      <c r="P97" s="177"/>
      <c r="Q97" s="177"/>
      <c r="R97" s="177"/>
      <c r="S97" s="177"/>
      <c r="T97" s="177"/>
      <c r="U97" s="177"/>
      <c r="V97" s="177"/>
      <c r="W97" s="136"/>
      <c r="X97" s="178"/>
      <c r="Y97" s="656"/>
      <c r="Z97" s="656"/>
      <c r="AA97" s="656"/>
      <c r="AB97" s="656"/>
      <c r="AC97" s="136"/>
      <c r="AD97" s="136"/>
      <c r="AE97" s="136"/>
      <c r="AF97" s="136"/>
      <c r="AG97" s="136"/>
      <c r="AH97" s="178"/>
      <c r="AI97" s="178"/>
      <c r="AJ97" s="178"/>
      <c r="AK97" s="178"/>
      <c r="AL97" s="178"/>
      <c r="AM97" s="178"/>
      <c r="AN97" s="601" t="str">
        <f>INDEX('Aides traitements'!$A$5:$A$58,'Page de garde'!$C$4,1)</f>
        <v>Paul Bert</v>
      </c>
      <c r="AO97" s="852">
        <f>VLOOKUP($AN$97,$AN$66:$BL$91,2,FALSE)/(VLOOKUP($AN$97,$AN$66:$BL$91,2,FALSE)+VLOOKUP($AN$97,$AN$66:$BL$91,3,FALSE)+VLOOKUP($AN$97,$AN$66:$BL$91,4,FALSE)+VLOOKUP($AN$97,$AN$66:$BL$91,5,FALSE)+VLOOKUP($AN$97,$AN$66:$BL$91,6,FALSE)+VLOOKUP($AN$97,$AN$66:$BL$91,7,FALSE)+VLOOKUP($AN$97,$AN$66:$BL$91,8,FALSE)+VLOOKUP($AN$97,$AN$66:$BL$91,9,FALSE))</f>
        <v>0</v>
      </c>
      <c r="AP97" s="853">
        <f>VLOOKUP($AN$97,$AN$66:$BL$91,3,FALSE)/(VLOOKUP($AN$97,$AN$66:$BL$91,2,FALSE)+VLOOKUP($AN$97,$AN$66:$BL$91,3,FALSE)+VLOOKUP($AN$97,$AN$66:$BL$91,4,FALSE)+VLOOKUP($AN$97,$AN$66:$BL$91,5,FALSE)+VLOOKUP($AN$97,$AN$66:$BL$91,6,FALSE)+VLOOKUP($AN$97,$AN$66:$BL$91,7,FALSE)+VLOOKUP($AN$97,$AN$66:$BL$91,8,FALSE)+VLOOKUP($AN$97,$AN$66:$BL$91,9,FALSE))</f>
        <v>2.1760528296741459E-2</v>
      </c>
      <c r="AQ97" s="1176">
        <f>VLOOKUP($AN$97,$AN$66:$BL$91,4,FALSE)/(VLOOKUP($AN$97,$AN$66:$BL$91,2,FALSE)+VLOOKUP($AN$97,$AN$66:$BL$91,3,FALSE)+VLOOKUP($AN$97,$AN$66:$BL$91,4,FALSE)+VLOOKUP($AN$97,$AN$66:$BL$91,5,FALSE)+VLOOKUP($AN$97,$AN$66:$BL$91,6,FALSE)+VLOOKUP($AN$97,$AN$66:$BL$91,7,FALSE)+VLOOKUP($AN$97,$AN$66:$BL$91,8,FALSE)+VLOOKUP($AN$97,$AN$66:$BL$91,9,FALSE))</f>
        <v>0.12566911442781736</v>
      </c>
      <c r="AR97" s="853">
        <f>VLOOKUP($AN$97,$AN$66:$BL$91,5,FALSE)/(VLOOKUP($AN$97,$AN$66:$BL$91,2,FALSE)+VLOOKUP($AN$97,$AN$66:$BL$91,3,FALSE)+VLOOKUP($AN$97,$AN$66:$BL$91,4,FALSE)+VLOOKUP($AN$97,$AN$66:$BL$91,5,FALSE)+VLOOKUP($AN$97,$AN$66:$BL$91,6,FALSE)+VLOOKUP($AN$97,$AN$66:$BL$91,7,FALSE)+VLOOKUP($AN$97,$AN$66:$BL$91,8,FALSE)+VLOOKUP($AN$97,$AN$66:$BL$91,9,FALSE))</f>
        <v>0.16682599226901548</v>
      </c>
      <c r="AS97" s="853">
        <f>VLOOKUP($AN$97,$AN$66:$BL$91,6,FALSE)/(VLOOKUP($AN$97,$AN$66:$BL$91,2,FALSE)+VLOOKUP($AN$97,$AN$66:$BL$91,3,FALSE)+VLOOKUP($AN$97,$AN$66:$BL$91,4,FALSE)+VLOOKUP($AN$97,$AN$66:$BL$91,5,FALSE)+VLOOKUP($AN$97,$AN$66:$BL$91,6,FALSE)+VLOOKUP($AN$97,$AN$66:$BL$91,7,FALSE)+VLOOKUP($AN$97,$AN$66:$BL$91,8,FALSE)+VLOOKUP($AN$97,$AN$66:$BL$91,9,FALSE))</f>
        <v>9.0955602369682059E-2</v>
      </c>
      <c r="AT97" s="853">
        <f>VLOOKUP($AN$97,$AN$66:$BL$91,7,FALSE)/(VLOOKUP($AN$97,$AN$66:$BL$91,2,FALSE)+VLOOKUP($AN$97,$AN$66:$BL$91,3,FALSE)+VLOOKUP($AN$97,$AN$66:$BL$91,4,FALSE)+VLOOKUP($AN$97,$AN$66:$BL$91,5,FALSE)+VLOOKUP($AN$97,$AN$66:$BL$91,6,FALSE)+VLOOKUP($AN$97,$AN$66:$BL$91,7,FALSE)+VLOOKUP($AN$97,$AN$66:$BL$91,8,FALSE)+VLOOKUP($AN$97,$AN$66:$BL$91,9,FALSE))</f>
        <v>9.22460689459772E-2</v>
      </c>
      <c r="AU97" s="853">
        <f>VLOOKUP($AN$97,$AN$66:$BL$91,8,FALSE)/(VLOOKUP($AN$97,$AN$66:$BL$91,2,FALSE)+VLOOKUP($AN$97,$AN$66:$BL$91,3,FALSE)+VLOOKUP($AN$97,$AN$66:$BL$91,4,FALSE)+VLOOKUP($AN$97,$AN$66:$BL$91,5,FALSE)+VLOOKUP($AN$97,$AN$66:$BL$91,6,FALSE)+VLOOKUP($AN$97,$AN$66:$BL$91,7,FALSE)+VLOOKUP($AN$97,$AN$66:$BL$91,8,FALSE)+VLOOKUP($AN$97,$AN$66:$BL$91,9,FALSE))</f>
        <v>0.24952327047360673</v>
      </c>
      <c r="AV97" s="854">
        <f>VLOOKUP($AN$97,$AN$66:$BL$91,9,FALSE)/(VLOOKUP($AN$97,$AN$66:$BL$91,2,FALSE)+VLOOKUP($AN$97,$AN$66:$BL$91,3,FALSE)+VLOOKUP($AN$97,$AN$66:$BL$91,4,FALSE)+VLOOKUP($AN$97,$AN$66:$BL$91,5,FALSE)+VLOOKUP($AN$97,$AN$66:$BL$91,6,FALSE)+VLOOKUP($AN$97,$AN$66:$BL$91,7,FALSE)+VLOOKUP($AN$97,$AN$66:$BL$91,8,FALSE)+VLOOKUP($AN$97,$AN$66:$BL$91,9,FALSE))</f>
        <v>0.25301942321715981</v>
      </c>
      <c r="AW97" s="852">
        <f>VLOOKUP($AN$97,$AN$66:$BL$91,10,FALSE)/(VLOOKUP($AN$97,$AN$66:$BL$91,10,FALSE)+VLOOKUP($AN$97,$AN$66:$BL$91,11,FALSE)+VLOOKUP($AN$97,$AN$66:$BL$91,12,FALSE)+VLOOKUP($AN$97,$AN$66:$BL$91,13,FALSE)+VLOOKUP($AN$97,$AN$66:$BL$91,14,FALSE)+VLOOKUP($AN$97,$AN$66:$BL$91,15,FALSE)+VLOOKUP($AN$97,$AN$66:$BL$91,16,FALSE)+VLOOKUP($AN$97,$AN$66:$BL$91,17,FALSE))</f>
        <v>0</v>
      </c>
      <c r="AX97" s="853">
        <f>VLOOKUP($AN$97,$AN$66:$BL$91,11,FALSE)/(VLOOKUP($AN$97,$AN$66:$BL$91,10,FALSE)+VLOOKUP($AN$97,$AN$66:$BL$91,11,FALSE)+VLOOKUP($AN$97,$AN$66:$BL$91,12,FALSE)+VLOOKUP($AN$97,$AN$66:$BL$91,13,FALSE)+VLOOKUP($AN$97,$AN$66:$BL$91,14,FALSE)+VLOOKUP($AN$97,$AN$66:$BL$91,15,FALSE)+VLOOKUP($AN$97,$AN$66:$BL$91,16,FALSE)+VLOOKUP($AN$97,$AN$66:$BL$91,17,FALSE))</f>
        <v>2.8326522437563346E-2</v>
      </c>
      <c r="AY97" s="853">
        <f>VLOOKUP($AN$97,$AN$66:$BL$91,12,FALSE)/(VLOOKUP($AN$97,$AN$66:$BL$91,10,FALSE)+VLOOKUP($AN$97,$AN$66:$BL$91,11,FALSE)+VLOOKUP($AN$97,$AN$66:$BL$91,12,FALSE)+VLOOKUP($AN$97,$AN$66:$BL$91,13,FALSE)+VLOOKUP($AN$97,$AN$66:$BL$91,14,FALSE)+VLOOKUP($AN$97,$AN$66:$BL$91,15,FALSE)+VLOOKUP($AN$97,$AN$66:$BL$91,16,FALSE)+VLOOKUP($AN$97,$AN$66:$BL$91,17,FALSE))</f>
        <v>0.12615095486042879</v>
      </c>
      <c r="AZ97" s="853">
        <f>VLOOKUP($AN$97,$AN$66:$BL$91,13,FALSE)/(VLOOKUP($AN$97,$AN$66:$BL$91,10,FALSE)+VLOOKUP($AN$97,$AN$66:$BL$91,11,FALSE)+VLOOKUP($AN$97,$AN$66:$BL$91,12,FALSE)+VLOOKUP($AN$97,$AN$66:$BL$91,13,FALSE)+VLOOKUP($AN$97,$AN$66:$BL$91,14,FALSE)+VLOOKUP($AN$97,$AN$66:$BL$91,15,FALSE)+VLOOKUP($AN$97,$AN$66:$BL$91,16,FALSE)+VLOOKUP($AN$97,$AN$66:$BL$91,17,FALSE))</f>
        <v>0.1542121412424026</v>
      </c>
      <c r="BA97" s="853">
        <f>VLOOKUP($AN$97,$AN$66:$BL$91,14,FALSE)/(VLOOKUP($AN$97,$AN$66:$BL$91,10,FALSE)+VLOOKUP($AN$97,$AN$66:$BL$91,11,FALSE)+VLOOKUP($AN$97,$AN$66:$BL$91,12,FALSE)+VLOOKUP($AN$97,$AN$66:$BL$91,13,FALSE)+VLOOKUP($AN$97,$AN$66:$BL$91,14,FALSE)+VLOOKUP($AN$97,$AN$66:$BL$91,15,FALSE)+VLOOKUP($AN$97,$AN$66:$BL$91,16,FALSE)+VLOOKUP($AN$97,$AN$66:$BL$91,17,FALSE))</f>
        <v>0.10621999179663083</v>
      </c>
      <c r="BB97" s="853">
        <f>VLOOKUP($AN$97,$AN$66:$BL$91,15,FALSE)/(VLOOKUP($AN$97,$AN$66:$BL$91,10,FALSE)+VLOOKUP($AN$97,$AN$66:$BL$91,11,FALSE)+VLOOKUP($AN$97,$AN$66:$BL$91,12,FALSE)+VLOOKUP($AN$97,$AN$66:$BL$91,13,FALSE)+VLOOKUP($AN$97,$AN$66:$BL$91,14,FALSE)+VLOOKUP($AN$97,$AN$66:$BL$91,15,FALSE)+VLOOKUP($AN$97,$AN$66:$BL$91,16,FALSE)+VLOOKUP($AN$97,$AN$66:$BL$91,17,FALSE))</f>
        <v>6.1737184470467825E-2</v>
      </c>
      <c r="BC97" s="853">
        <f>VLOOKUP($AN$97,$AN$66:$BL$91,16,FALSE)/(VLOOKUP($AN$97,$AN$66:$BL$91,10,FALSE)+VLOOKUP($AN$97,$AN$66:$BL$91,11,FALSE)+VLOOKUP($AN$97,$AN$66:$BL$91,12,FALSE)+VLOOKUP($AN$97,$AN$66:$BL$91,13,FALSE)+VLOOKUP($AN$97,$AN$66:$BL$91,14,FALSE)+VLOOKUP($AN$97,$AN$66:$BL$91,15,FALSE)+VLOOKUP($AN$97,$AN$66:$BL$91,16,FALSE)+VLOOKUP($AN$97,$AN$66:$BL$91,17,FALSE))</f>
        <v>0.23660592021805454</v>
      </c>
      <c r="BD97" s="854">
        <f>VLOOKUP($AN$97,$AN$66:$BL$91,17,FALSE)/(VLOOKUP($AN$97,$AN$66:$BL$91,10,FALSE)+VLOOKUP($AN$97,$AN$66:$BL$91,11,FALSE)+VLOOKUP($AN$97,$AN$66:$BL$91,12,FALSE)+VLOOKUP($AN$97,$AN$66:$BL$91,13,FALSE)+VLOOKUP($AN$97,$AN$66:$BL$91,14,FALSE)+VLOOKUP($AN$97,$AN$66:$BL$91,15,FALSE)+VLOOKUP($AN$97,$AN$66:$BL$91,16,FALSE)+VLOOKUP($AN$97,$AN$66:$BL$91,17,FALSE))</f>
        <v>0.28674728497445207</v>
      </c>
      <c r="BE97" s="852">
        <f>VLOOKUP($AN$97,$AN$66:$BL$91,18,FALSE)/(VLOOKUP($AN$97,$AN$66:$BL$91,18,FALSE)+VLOOKUP($AN$97,$AN$66:$BL$91,19,FALSE)+VLOOKUP($AN$97,$AN$66:$BL$91,20,FALSE)+VLOOKUP($AN$97,$AN$66:$BL$91,21,FALSE)+VLOOKUP($AN$97,$AN$66:$BL$91,22,FALSE)+VLOOKUP($AN$97,$AN$66:$BL$91,23,FALSE)+VLOOKUP($AN$97,$AN$66:$BL$91,24,FALSE)+VLOOKUP($AN$97,$AN$66:$BL$91,25,FALSE))</f>
        <v>0</v>
      </c>
      <c r="BF97" s="853">
        <f>VLOOKUP($AN$97,$AN$66:$BL$91,19,FALSE)/(VLOOKUP($AN$97,$AN$66:$BL$91,18,FALSE)+VLOOKUP($AN$97,$AN$66:$BL$91,19,FALSE)+VLOOKUP($AN$97,$AN$66:$BL$91,20,FALSE)+VLOOKUP($AN$97,$AN$66:$BL$91,21,FALSE)+VLOOKUP($AN$97,$AN$66:$BL$91,22,FALSE)+VLOOKUP($AN$97,$AN$66:$BL$91,23,FALSE)+VLOOKUP($AN$97,$AN$66:$BL$91,24,FALSE)+VLOOKUP($AN$97,$AN$66:$BL$91,25,FALSE))</f>
        <v>2.8800514665406059E-2</v>
      </c>
      <c r="BG97" s="853">
        <f>VLOOKUP($AN$97,$AN$66:$BL$91,20,FALSE)/(VLOOKUP($AN$97,$AN$66:$BL$91,18,FALSE)+VLOOKUP($AN$97,$AN$66:$BL$91,19,FALSE)+VLOOKUP($AN$97,$AN$66:$BL$91,20,FALSE)+VLOOKUP($AN$97,$AN$66:$BL$91,21,FALSE)+VLOOKUP($AN$97,$AN$66:$BL$91,22,FALSE)+VLOOKUP($AN$97,$AN$66:$BL$91,23,FALSE)+VLOOKUP($AN$97,$AN$66:$BL$91,24,FALSE)+VLOOKUP($AN$97,$AN$66:$BL$91,25,FALSE))</f>
        <v>0.13565589136647963</v>
      </c>
      <c r="BH97" s="853">
        <f>VLOOKUP($AN$97,$AN$66:$BL$91,21,FALSE)/(VLOOKUP($AN$97,$AN$66:$BL$91,18,FALSE)+VLOOKUP($AN$97,$AN$66:$BL$91,19,FALSE)+VLOOKUP($AN$97,$AN$66:$BL$91,20,FALSE)+VLOOKUP($AN$97,$AN$66:$BL$91,21,FALSE)+VLOOKUP($AN$97,$AN$66:$BL$91,22,FALSE)+VLOOKUP($AN$97,$AN$66:$BL$91,23,FALSE)+VLOOKUP($AN$97,$AN$66:$BL$91,24,FALSE)+VLOOKUP($AN$97,$AN$66:$BL$91,25,FALSE))</f>
        <v>0.15982217163429294</v>
      </c>
      <c r="BI97" s="853">
        <f>VLOOKUP($AN$97,$AN$66:$BL$91,22,FALSE)/(VLOOKUP($AN$97,$AN$66:$BL$91,18,FALSE)+VLOOKUP($AN$97,$AN$66:$BL$91,19,FALSE)+VLOOKUP($AN$97,$AN$66:$BL$91,20,FALSE)+VLOOKUP($AN$97,$AN$66:$BL$91,21,FALSE)+VLOOKUP($AN$97,$AN$66:$BL$91,22,FALSE)+VLOOKUP($AN$97,$AN$66:$BL$91,23,FALSE)+VLOOKUP($AN$97,$AN$66:$BL$91,24,FALSE)+VLOOKUP($AN$97,$AN$66:$BL$91,25,FALSE))</f>
        <v>0.11749165037740665</v>
      </c>
      <c r="BJ97" s="853">
        <f>VLOOKUP($AN$97,$AN$66:$BL$91,23,FALSE)/(VLOOKUP($AN$97,$AN$66:$BL$91,18,FALSE)+VLOOKUP($AN$97,$AN$66:$BL$91,19,FALSE)+VLOOKUP($AN$97,$AN$66:$BL$91,20,FALSE)+VLOOKUP($AN$97,$AN$66:$BL$91,21,FALSE)+VLOOKUP($AN$97,$AN$66:$BL$91,22,FALSE)+VLOOKUP($AN$97,$AN$66:$BL$91,23,FALSE)+VLOOKUP($AN$97,$AN$66:$BL$91,24,FALSE)+VLOOKUP($AN$97,$AN$66:$BL$91,25,FALSE))</f>
        <v>6.2389513730057897E-2</v>
      </c>
      <c r="BK97" s="853">
        <f>VLOOKUP($AN$97,$AN$66:$BL$91,24,FALSE)/(VLOOKUP($AN$97,$AN$66:$BL$91,18,FALSE)+VLOOKUP($AN$97,$AN$66:$BL$91,19,FALSE)+VLOOKUP($AN$97,$AN$66:$BL$91,20,FALSE)+VLOOKUP($AN$97,$AN$66:$BL$91,21,FALSE)+VLOOKUP($AN$97,$AN$66:$BL$91,22,FALSE)+VLOOKUP($AN$97,$AN$66:$BL$91,23,FALSE)+VLOOKUP($AN$97,$AN$66:$BL$91,24,FALSE)+VLOOKUP($AN$97,$AN$66:$BL$91,25,FALSE))</f>
        <v>0.27113977160155783</v>
      </c>
      <c r="BL97" s="854">
        <f>VLOOKUP($AN$97,$AN$66:$BL$91,25,FALSE)/(VLOOKUP($AN$97,$AN$66:$BL$91,18,FALSE)+VLOOKUP($AN$97,$AN$66:$BL$91,19,FALSE)+VLOOKUP($AN$97,$AN$66:$BL$91,20,FALSE)+VLOOKUP($AN$97,$AN$66:$BL$91,21,FALSE)+VLOOKUP($AN$97,$AN$66:$BL$91,22,FALSE)+VLOOKUP($AN$97,$AN$66:$BL$91,23,FALSE)+VLOOKUP($AN$97,$AN$66:$BL$91,24,FALSE)+VLOOKUP($AN$97,$AN$66:$BL$91,25,FALSE))</f>
        <v>0.22470048662479911</v>
      </c>
      <c r="BM97" s="136"/>
      <c r="BN97" s="180" t="str">
        <f>INDEX('Aides traitements'!$A$5:$A$58,'Page de garde'!$C$4,1)</f>
        <v>Paul Bert</v>
      </c>
      <c r="BO97" s="181">
        <f>VLOOKUP($BN$97,$BN$66:$CF$91,2,FALSE)/(VLOOKUP($BN$97,$BN$66:$CF$91,2,FALSE)+VLOOKUP($BN$97,$BN$66:$CF$91,3,FALSE)+VLOOKUP($BN$97,$BN$66:$CF$91,4,FALSE)+VLOOKUP($BN$97,$BN$66:$CF$91,5,FALSE)+VLOOKUP($BN$97,$BN$66:$CF$91,6,FALSE)+VLOOKUP($BN$97,$BN$66:$CF$91,7,FALSE))</f>
        <v>9.178134619227947E-2</v>
      </c>
      <c r="BP97" s="182">
        <f>VLOOKUP($BN$97,$BN$66:$CF$91,3,FALSE)/(VLOOKUP($BN$97,$BN$66:$CF$91,2,FALSE)+VLOOKUP($BN$97,$BN$66:$CF$91,3,FALSE)+VLOOKUP($BN$97,$BN$66:$CF$91,4,FALSE)+VLOOKUP($BN$97,$BN$66:$CF$91,5,FALSE)+VLOOKUP($BN$97,$BN$66:$CF$91,6,FALSE)+VLOOKUP($BN$97,$BN$66:$CF$91,7,FALSE))</f>
        <v>0.36338731168461413</v>
      </c>
      <c r="BQ97" s="182">
        <f>VLOOKUP($BN$97,$BN$66:$CF$91,4,FALSE)/(VLOOKUP($BN$97,$BN$66:$CF$91,2,FALSE)+VLOOKUP($BN$97,$BN$66:$CF$91,3,FALSE)+VLOOKUP($BN$97,$BN$66:$CF$91,4,FALSE)+VLOOKUP($BN$97,$BN$66:$CF$91,5,FALSE)+VLOOKUP($BN$97,$BN$66:$CF$91,6,FALSE)+VLOOKUP($BN$97,$BN$66:$CF$91,7,FALSE))</f>
        <v>0.17689776781050678</v>
      </c>
      <c r="BR97" s="182">
        <f>VLOOKUP($BN$97,$BN$66:$CF$91,5,FALSE)/(VLOOKUP($BN$97,$BN$66:$CF$91,2,FALSE)+VLOOKUP($BN$97,$BN$66:$CF$91,3,FALSE)+VLOOKUP($BN$97,$BN$66:$CF$91,4,FALSE)+VLOOKUP($BN$97,$BN$66:$CF$91,5,FALSE)+VLOOKUP($BN$97,$BN$66:$CF$91,6,FALSE)+VLOOKUP($BN$97,$BN$66:$CF$91,7,FALSE))</f>
        <v>0.11907249561143533</v>
      </c>
      <c r="BS97" s="182">
        <f>VLOOKUP($BN$97,$BN$66:$CF$91,6,FALSE)/(VLOOKUP($BN$97,$BN$66:$CF$91,2,FALSE)+VLOOKUP($BN$97,$BN$66:$CF$91,3,FALSE)+VLOOKUP($BN$97,$BN$66:$CF$91,4,FALSE)+VLOOKUP($BN$97,$BN$66:$CF$91,5,FALSE)+VLOOKUP($BN$97,$BN$66:$CF$91,6,FALSE)+VLOOKUP($BN$97,$BN$66:$CF$91,7,FALSE))</f>
        <v>9.1662206154141182E-2</v>
      </c>
      <c r="BT97" s="183">
        <f>VLOOKUP($BN$97,$BN$66:$CF$91,7,FALSE)/(VLOOKUP($BN$97,$BN$66:$CF$91,2,FALSE)+VLOOKUP($BN$97,$BN$66:$CF$91,3,FALSE)+VLOOKUP($BN$97,$BN$66:$CF$91,4,FALSE)+VLOOKUP($BN$97,$BN$66:$CF$91,5,FALSE)+VLOOKUP($BN$97,$BN$66:$CF$91,6,FALSE)+VLOOKUP($BN$97,$BN$66:$CF$91,7,FALSE))</f>
        <v>0.15719887254702317</v>
      </c>
      <c r="BU97" s="181">
        <f>VLOOKUP($BN$97,$BN$66:$CF$91,8,FALSE)/(VLOOKUP($BN$97,$BN$66:$CF$91,8,FALSE)+VLOOKUP($BN$97,$BN$66:$CF$91,9,FALSE)+VLOOKUP($BN$97,$BN$66:$CF$91,10,FALSE)+VLOOKUP($BN$97,$BN$66:$CF$91,11,FALSE)+VLOOKUP($BN$97,$BN$66:$CF$91,12,FALSE)+VLOOKUP($BN$97,$BN$66:$CF$91,13,FALSE))</f>
        <v>0.10144196040639138</v>
      </c>
      <c r="BV97" s="182">
        <f>VLOOKUP($BN$97,$BN$66:$CF$91,9,FALSE)/(VLOOKUP($BN$97,$BN$66:$CF$91,8,FALSE)+VLOOKUP($BN$97,$BN$66:$CF$91,9,FALSE)+VLOOKUP($BN$97,$BN$66:$CF$91,10,FALSE)+VLOOKUP($BN$97,$BN$66:$CF$91,11,FALSE)+VLOOKUP($BN$97,$BN$66:$CF$91,12,FALSE)+VLOOKUP($BN$97,$BN$66:$CF$91,13,FALSE))</f>
        <v>0.35227541017440345</v>
      </c>
      <c r="BW97" s="182">
        <f>VLOOKUP($BN$97,$BN$66:$CF$91,10,FALSE)/(VLOOKUP($BN$97,$BN$66:$CF$91,8,FALSE)+VLOOKUP($BN$97,$BN$66:$CF$91,9,FALSE)+VLOOKUP($BN$97,$BN$66:$CF$91,10,FALSE)+VLOOKUP($BN$97,$BN$66:$CF$91,11,FALSE)+VLOOKUP($BN$97,$BN$66:$CF$91,12,FALSE)+VLOOKUP($BN$97,$BN$66:$CF$91,13,FALSE))</f>
        <v>0.13820889619888227</v>
      </c>
      <c r="BX97" s="182">
        <f>VLOOKUP($BN$97,$BN$66:$CF$91,11,FALSE)/(VLOOKUP($BN$97,$BN$66:$CF$91,8,FALSE)+VLOOKUP($BN$97,$BN$66:$CF$91,9,FALSE)+VLOOKUP($BN$97,$BN$66:$CF$91,10,FALSE)+VLOOKUP($BN$97,$BN$66:$CF$91,11,FALSE)+VLOOKUP($BN$97,$BN$66:$CF$91,12,FALSE)+VLOOKUP($BN$97,$BN$66:$CF$91,13,FALSE))</f>
        <v>0.14537466869241719</v>
      </c>
      <c r="BY97" s="182">
        <f>VLOOKUP($BN$97,$BN$66:$CF$91,12,FALSE)/(VLOOKUP($BN$97,$BN$66:$CF$91,8,FALSE)+VLOOKUP($BN$97,$BN$66:$CF$91,9,FALSE)+VLOOKUP($BN$97,$BN$66:$CF$91,10,FALSE)+VLOOKUP($BN$97,$BN$66:$CF$91,11,FALSE)+VLOOKUP($BN$97,$BN$66:$CF$91,12,FALSE)+VLOOKUP($BN$97,$BN$66:$CF$91,13,FALSE))</f>
        <v>0.12587434368179051</v>
      </c>
      <c r="BZ97" s="182">
        <f>VLOOKUP($BN$97,$BN$66:$CF$91,13,FALSE)/(VLOOKUP($BN$97,$BN$66:$CF$91,8,FALSE)+VLOOKUP($BN$97,$BN$66:$CF$91,9,FALSE)+VLOOKUP($BN$97,$BN$66:$CF$91,10,FALSE)+VLOOKUP($BN$97,$BN$66:$CF$91,11,FALSE)+VLOOKUP($BN$97,$BN$66:$CF$91,12,FALSE)+VLOOKUP($BN$97,$BN$66:$CF$91,13,FALSE))</f>
        <v>0.13682472084611516</v>
      </c>
      <c r="CA97" s="181">
        <f>VLOOKUP($BN$97,$BN$66:$CF$91,14,FALSE)/(VLOOKUP($BN$97,$BN$66:$CF$91,14,FALSE)+VLOOKUP($BN$97,$BN$66:$CF$91,15,FALSE)+VLOOKUP($BN$97,$BN$66:$CF$91,16,FALSE)+VLOOKUP($BN$97,$BN$66:$CF$91,17,FALSE)+VLOOKUP($BN$97,$BN$66:$CF$91,18,FALSE)+VLOOKUP($BN$97,$BN$66:$CF$91,19,FALSE))</f>
        <v>0.11298684869204208</v>
      </c>
      <c r="CB97" s="182">
        <f>VLOOKUP($BN$97,$BN$66:$CF$91,15,FALSE)/(VLOOKUP($BN$97,$BN$66:$CF$91,14,FALSE)+VLOOKUP($BN$97,$BN$66:$CF$91,15,FALSE)+VLOOKUP($BN$97,$BN$66:$CF$91,16,FALSE)+VLOOKUP($BN$97,$BN$66:$CF$91,17,FALSE)+VLOOKUP($BN$97,$BN$66:$CF$91,18,FALSE)+VLOOKUP($BN$97,$BN$66:$CF$91,19,FALSE))</f>
        <v>0.33331884383953858</v>
      </c>
      <c r="CC97" s="182">
        <f>VLOOKUP($BN$97,$BN$66:$CF$91,16,FALSE)/(VLOOKUP($BN$97,$BN$66:$CF$91,14,FALSE)+VLOOKUP($BN$97,$BN$66:$CF$91,15,FALSE)+VLOOKUP($BN$97,$BN$66:$CF$91,16,FALSE)+VLOOKUP($BN$97,$BN$66:$CF$91,17,FALSE)+VLOOKUP($BN$97,$BN$66:$CF$91,18,FALSE)+VLOOKUP($BN$97,$BN$66:$CF$91,19,FALSE))</f>
        <v>0.16361211846914547</v>
      </c>
      <c r="CD97" s="182">
        <f>VLOOKUP($BN$97,$BN$66:$CF$91,17,FALSE)/(VLOOKUP($BN$97,$BN$66:$CF$91,14,FALSE)+VLOOKUP($BN$97,$BN$66:$CF$91,15,FALSE)+VLOOKUP($BN$97,$BN$66:$CF$91,16,FALSE)+VLOOKUP($BN$97,$BN$66:$CF$91,17,FALSE)+VLOOKUP($BN$97,$BN$66:$CF$91,18,FALSE)+VLOOKUP($BN$97,$BN$66:$CF$91,19,FALSE))</f>
        <v>0.12026267646344364</v>
      </c>
      <c r="CE97" s="182">
        <f>VLOOKUP($BN$97,$BN$66:$CF$91,18,FALSE)/(VLOOKUP($BN$97,$BN$66:$CF$91,14,FALSE)+VLOOKUP($BN$97,$BN$66:$CF$91,15,FALSE)+VLOOKUP($BN$97,$BN$66:$CF$91,16,FALSE)+VLOOKUP($BN$97,$BN$66:$CF$91,17,FALSE)+VLOOKUP($BN$97,$BN$66:$CF$91,18,FALSE)+VLOOKUP($BN$97,$BN$66:$CF$91,19,FALSE))</f>
        <v>0.12695711340723906</v>
      </c>
      <c r="CF97" s="183">
        <f>VLOOKUP($BN$97,$BN$66:$CF$91,19,FALSE)/(VLOOKUP($BN$97,$BN$66:$CF$91,14,FALSE)+VLOOKUP($BN$97,$BN$66:$CF$91,15,FALSE)+VLOOKUP($BN$97,$BN$66:$CF$91,16,FALSE)+VLOOKUP($BN$97,$BN$66:$CF$91,17,FALSE)+VLOOKUP($BN$97,$BN$66:$CF$91,18,FALSE)+VLOOKUP($BN$97,$BN$66:$CF$91,19,FALSE))</f>
        <v>0.14286239912859119</v>
      </c>
      <c r="CG97" s="136"/>
      <c r="CH97" s="180" t="str">
        <f>INDEX('Aides traitements'!$A$5:$A$58,'Page de garde'!$C$4,1)</f>
        <v>Paul Bert</v>
      </c>
      <c r="CI97" s="801">
        <f>VLOOKUP($CH$97,$CH$66:$CQ$91,2,FALSE)/(VLOOKUP($CH$97,$CH$66:$CQ$91,2,FALSE)+VLOOKUP($CH$97,$CH$66:$CQ$91,3,FALSE)+VLOOKUP($CH$97,$CH$66:$CQ$91,4,FALSE))</f>
        <v>0.19903908597935729</v>
      </c>
      <c r="CJ97" s="801">
        <f>VLOOKUP($CH$97,$CH$66:$CQ$91,3,FALSE)/(VLOOKUP($CH$97,$CH$66:$CQ$91,2,FALSE)+VLOOKUP($CH$97,$CH$66:$CQ$91,3,FALSE)+VLOOKUP($CH$97,$CH$66:$CQ$91,4,FALSE))</f>
        <v>0.58909454236487135</v>
      </c>
      <c r="CK97" s="804">
        <f>VLOOKUP($CH$97,$CH$66:$CQ$91,4,FALSE)/(VLOOKUP($CH$97,$CH$66:$CQ$91,2,FALSE)+VLOOKUP($CH$97,$CH$66:$CQ$91,3,FALSE)+VLOOKUP($CH$97,$CH$66:$CQ$91,4,FALSE))</f>
        <v>0.21186637165577143</v>
      </c>
      <c r="CL97" s="801">
        <f>VLOOKUP($CH$97,$CH$66:$CQ$91,5,FALSE)/(VLOOKUP($CH$97,$CH$66:$CQ$91,5,FALSE)+VLOOKUP($CH$97,$CH$66:$CQ$91,6,FALSE)+VLOOKUP($CH$97,$CH$66:$CQ$91,7,FALSE))</f>
        <v>0.21554242739966128</v>
      </c>
      <c r="CM97" s="801">
        <f>VLOOKUP($CH$97,$CH$66:$CQ$91,6,FALSE)/(VLOOKUP($CH$97,$CH$66:$CQ$91,5,FALSE)+VLOOKUP($CH$97,$CH$66:$CQ$91,6,FALSE)+VLOOKUP($CH$97,$CH$66:$CQ$91,7,FALSE))</f>
        <v>0.5747585400481412</v>
      </c>
      <c r="CN97" s="804">
        <f>VLOOKUP($CH$97,$CH$66:$CQ$91,7,FALSE)/(VLOOKUP($CH$97,$CH$66:$CQ$91,5,FALSE)+VLOOKUP($CH$97,$CH$66:$CQ$91,6,FALSE)+VLOOKUP($CH$97,$CH$66:$CQ$91,7,FALSE))</f>
        <v>0.20969903255219749</v>
      </c>
      <c r="CO97" s="801">
        <f>VLOOKUP($CH$97,$CH$66:$CQ$91,8,FALSE)/(VLOOKUP($CH$97,$CH$66:$CQ$91,8,FALSE)+VLOOKUP($CH$97,$CH$66:$CQ$91,9,FALSE)+VLOOKUP($CH$97,$CH$66:$CQ$91,10,FALSE))</f>
        <v>0.21825491488049878</v>
      </c>
      <c r="CP97" s="801">
        <f>VLOOKUP($CH$97,$CH$66:$CQ$91,9,FALSE)/(VLOOKUP($CH$97,$CH$66:$CQ$91,8,FALSE)+VLOOKUP($CH$97,$CH$66:$CQ$91,9,FALSE)+VLOOKUP($CH$97,$CH$66:$CQ$91,10,FALSE))</f>
        <v>0.55969206990002873</v>
      </c>
      <c r="CQ97" s="804">
        <f>VLOOKUP($CH$97,$CH$66:$CQ$91,10,FALSE)/(VLOOKUP($CH$97,$CH$66:$CQ$91,8,FALSE)+VLOOKUP($CH$97,$CH$66:$CQ$91,9,FALSE)+VLOOKUP($CH$97,$CH$66:$CQ$91,10,FALSE))</f>
        <v>0.22205301521947246</v>
      </c>
      <c r="CR97" s="136"/>
      <c r="CS97" s="426"/>
      <c r="CT97" s="426"/>
      <c r="CU97" s="426"/>
      <c r="CV97" s="426"/>
      <c r="CW97" s="426"/>
      <c r="DF97" s="178"/>
      <c r="DG97" s="177"/>
      <c r="DH97" s="177"/>
      <c r="DI97" s="177"/>
      <c r="DJ97" s="177"/>
      <c r="DK97" s="177"/>
      <c r="DL97" s="177"/>
      <c r="DM97" s="177"/>
      <c r="DN97" s="178"/>
      <c r="DO97" s="178"/>
      <c r="DP97" s="179"/>
      <c r="DQ97" s="179"/>
      <c r="DR97" s="179"/>
      <c r="DS97" s="179"/>
      <c r="DT97" s="178"/>
      <c r="DU97" s="178"/>
      <c r="DV97" s="179"/>
      <c r="DW97" s="179"/>
      <c r="DX97" s="179"/>
      <c r="DY97" s="178"/>
      <c r="DZ97" s="178"/>
      <c r="EA97" s="179"/>
      <c r="EB97" s="179"/>
      <c r="EC97" s="179"/>
      <c r="EE97" s="180" t="str">
        <f>INDEX('Aides traitements'!$A$5:$A$58,'Page de garde'!$C$4,1)</f>
        <v>Paul Bert</v>
      </c>
      <c r="EF97" s="764">
        <f>VLOOKUP($EE$97,$EE$66:$ET$91,2,FALSE)/(VLOOKUP($EE$97,$EE$66:$ET$91,2,FALSE)+VLOOKUP($EE$97,$EE$66:$ET$91,3,FALSE)+VLOOKUP($EE$97,$EE$66:$ET$91,4,FALSE)+VLOOKUP($EE$97,$EE$66:$ET$91,5,FALSE)+VLOOKUP($EE$97,$EE$66:$ET$91,6,FALSE))</f>
        <v>0.59806671751550999</v>
      </c>
      <c r="EG97" s="801">
        <f>VLOOKUP($EE$97,$EE$66:$ET$91,3,FALSE)/(VLOOKUP($EE$97,$EE$66:$ET$91,2,FALSE)+VLOOKUP($EE$97,$EE$66:$ET$91,3,FALSE)+VLOOKUP($EE$97,$EE$66:$ET$91,4,FALSE)+VLOOKUP($EE$97,$EE$66:$ET$91,5,FALSE)+VLOOKUP($EE$97,$EE$66:$ET$91,6,FALSE))</f>
        <v>2.675028946943829E-2</v>
      </c>
      <c r="EH97" s="801">
        <f>VLOOKUP($EE$97,$EE$66:$ET$91,4,FALSE)/(VLOOKUP($EE$97,$EE$66:$ET$91,2,FALSE)+VLOOKUP($EE$97,$EE$66:$ET$91,3,FALSE)+VLOOKUP($EE$97,$EE$66:$ET$91,4,FALSE)+VLOOKUP($EE$97,$EE$66:$ET$91,5,FALSE)+VLOOKUP($EE$97,$EE$66:$ET$91,6,FALSE))</f>
        <v>0.22978585828569853</v>
      </c>
      <c r="EI97" s="801">
        <f>VLOOKUP($EE$97,$EE$66:$ET$91,5,FALSE)/(VLOOKUP($EE$97,$EE$66:$ET$91,2,FALSE)+VLOOKUP($EE$97,$EE$66:$ET$91,3,FALSE)+VLOOKUP($EE$97,$EE$66:$ET$91,4,FALSE)+VLOOKUP($EE$97,$EE$66:$ET$91,5,FALSE)+VLOOKUP($EE$97,$EE$66:$ET$91,6,FALSE))</f>
        <v>0.10866440290332414</v>
      </c>
      <c r="EJ97" s="804">
        <f>VLOOKUP($EE$97,$EE$66:$ET$91,6,FALSE)/(VLOOKUP($EE$97,$EE$66:$ET$91,2,FALSE)+VLOOKUP($EE$97,$EE$66:$ET$91,3,FALSE)+VLOOKUP($EE$97,$EE$66:$ET$91,4,FALSE)+VLOOKUP($EE$97,$EE$66:$ET$91,5,FALSE)+VLOOKUP($EE$97,$EE$66:$ET$91,6,FALSE))</f>
        <v>3.6732731826029145E-2</v>
      </c>
      <c r="EK97" s="764">
        <f>VLOOKUP($EE$97,$EE$66:$ET$91,7,FALSE)/(VLOOKUP($EE$97,$EE$66:$ET$91,7,FALSE)+VLOOKUP($EE$97,$EE$66:$ET$91,8,FALSE)+VLOOKUP($EE$97,$EE$66:$ET$91,9,FALSE)+VLOOKUP($EE$97,$EE$66:$ET$91,10,FALSE)+VLOOKUP($EE$97,$EE$66:$ET$91,11,FALSE))</f>
        <v>0.53745795952507991</v>
      </c>
      <c r="EL97" s="801">
        <f>VLOOKUP($EE$97,$EE$66:$ET$91,8,FALSE)/(VLOOKUP($EE$97,$EE$66:$ET$91,7,FALSE)+VLOOKUP($EE$97,$EE$66:$ET$91,8,FALSE)+VLOOKUP($EE$97,$EE$66:$ET$91,9,FALSE)+VLOOKUP($EE$97,$EE$66:$ET$91,10,FALSE)+VLOOKUP($EE$97,$EE$66:$ET$91,11,FALSE))</f>
        <v>3.9887497283418512E-2</v>
      </c>
      <c r="EM97" s="801">
        <f>VLOOKUP($EE$97,$EE$66:$ET$91,9,FALSE)/(VLOOKUP($EE$97,$EE$66:$ET$91,7,FALSE)+VLOOKUP($EE$97,$EE$66:$ET$91,8,FALSE)+VLOOKUP($EE$97,$EE$66:$ET$91,9,FALSE)+VLOOKUP($EE$97,$EE$66:$ET$91,10,FALSE)+VLOOKUP($EE$97,$EE$66:$ET$91,11,FALSE))</f>
        <v>0.23598407352183856</v>
      </c>
      <c r="EN97" s="801">
        <f>VLOOKUP($EE$97,$EE$66:$ET$91,10,FALSE)/(VLOOKUP($EE$97,$EE$66:$ET$91,7,FALSE)+VLOOKUP($EE$97,$EE$66:$ET$91,8,FALSE)+VLOOKUP($EE$97,$EE$66:$ET$91,9,FALSE)+VLOOKUP($EE$97,$EE$66:$ET$91,10,FALSE)+VLOOKUP($EE$97,$EE$66:$ET$91,11,FALSE))</f>
        <v>0.12244050240701602</v>
      </c>
      <c r="EO97" s="804">
        <f>VLOOKUP($EE$97,$EE$66:$ET$91,11,FALSE)/(VLOOKUP($EE$97,$EE$66:$ET$91,7,FALSE)+VLOOKUP($EE$97,$EE$66:$ET$91,8,FALSE)+VLOOKUP($EE$97,$EE$66:$ET$91,9,FALSE)+VLOOKUP($EE$97,$EE$66:$ET$91,10,FALSE)+VLOOKUP($EE$97,$EE$66:$ET$91,11,FALSE))</f>
        <v>6.422996726264707E-2</v>
      </c>
      <c r="EP97" s="801">
        <f>VLOOKUP($EE$97,$EE$66:$ET$91,12,FALSE)/(VLOOKUP($EE$97,$EE$66:$ET$91,12,FALSE)+VLOOKUP($EE$97,$EE$66:$ET$91,13,FALSE)+VLOOKUP($EE$97,$EE$66:$ET$91,14,FALSE)+VLOOKUP($EE$97,$EE$66:$ET$91,15,FALSE)+VLOOKUP($EE$97,$EE$66:$ET$91,16,FALSE))</f>
        <v>0.59627732857440696</v>
      </c>
      <c r="EQ97" s="801">
        <f>VLOOKUP($EE$97,$EE$66:$ET$91,13,FALSE)/(VLOOKUP($EE$97,$EE$66:$ET$91,12,FALSE)+VLOOKUP($EE$97,$EE$66:$ET$91,13,FALSE)+VLOOKUP($EE$97,$EE$66:$ET$91,14,FALSE)+VLOOKUP($EE$97,$EE$66:$ET$91,15,FALSE)+VLOOKUP($EE$97,$EE$66:$ET$91,16,FALSE))</f>
        <v>2.8420911920597924E-2</v>
      </c>
      <c r="ER97" s="801">
        <f>VLOOKUP($EE$97,$EE$66:$ET$91,14,FALSE)/(VLOOKUP($EE$97,$EE$66:$ET$91,12,FALSE)+VLOOKUP($EE$97,$EE$66:$ET$91,13,FALSE)+VLOOKUP($EE$97,$EE$66:$ET$91,14,FALSE)+VLOOKUP($EE$97,$EE$66:$ET$91,15,FALSE)+VLOOKUP($EE$97,$EE$66:$ET$91,16,FALSE))</f>
        <v>0.18864445057598106</v>
      </c>
      <c r="ES97" s="801">
        <f>VLOOKUP($EE$97,$EE$66:$ET$91,15,FALSE)/(VLOOKUP($EE$97,$EE$66:$ET$91,12,FALSE)+VLOOKUP($EE$97,$EE$66:$ET$91,13,FALSE)+VLOOKUP($EE$97,$EE$66:$ET$91,14,FALSE)+VLOOKUP($EE$97,$EE$66:$ET$91,15,FALSE)+VLOOKUP($EE$97,$EE$66:$ET$91,16,FALSE))</f>
        <v>0.12739506060427586</v>
      </c>
      <c r="ET97" s="804">
        <f>VLOOKUP($EE$97,$EE$66:$ET$91,16,FALSE)/(VLOOKUP($EE$97,$EE$66:$ET$91,12,FALSE)+VLOOKUP($EE$97,$EE$66:$ET$91,13,FALSE)+VLOOKUP($EE$97,$EE$66:$ET$91,14,FALSE)+VLOOKUP($EE$97,$EE$66:$ET$91,15,FALSE)+VLOOKUP($EE$97,$EE$66:$ET$91,16,FALSE))</f>
        <v>5.9262248324738184E-2</v>
      </c>
      <c r="EV97" s="180" t="str">
        <f>INDEX('Aides traitements'!$A$5:$A$58,'Page de garde'!$C$4,1)</f>
        <v>Paul Bert</v>
      </c>
      <c r="EW97" s="764">
        <f>VLOOKUP($EV$97,$EV$66:$FT$91,2,FALSE)/VLOOKUP($EV$97,$EV$66:$FT$91,6,FALSE)</f>
        <v>0.45734150040575539</v>
      </c>
      <c r="EX97" s="801">
        <f>VLOOKUP($EV$97,$EV$66:$FT$91,3,FALSE)/VLOOKUP($EV$97,$EV$66:$FT$91,7,FALSE)</f>
        <v>0.36920431832736467</v>
      </c>
      <c r="EY97" s="801">
        <f>VLOOKUP($EV$97,$EV$66:$FT$91,4,FALSE)/VLOOKUP($EV$97,$EV$66:$FT$91,8,FALSE)</f>
        <v>0.36036904513906043</v>
      </c>
      <c r="EZ97" s="804">
        <f>VLOOKUP($EV$97,$EV$66:$FT$91,5,FALSE)/VLOOKUP($EV$97,$EV$66:$FT$91,9,FALSE)</f>
        <v>0.60696812687241963</v>
      </c>
      <c r="FA97" s="764">
        <f>VLOOKUP($EV$97,$EV$66:$FT$91,10,FALSE)/VLOOKUP($EV$97,$EV$66:$FT$91,14,FALSE)</f>
        <v>0.40904434593315919</v>
      </c>
      <c r="FB97" s="801">
        <f>VLOOKUP($EV$97,$EV$66:$FT$91,11,FALSE)/VLOOKUP($EV$97,$EV$66:$FT$91,15,FALSE)</f>
        <v>0.31160229556089858</v>
      </c>
      <c r="FC97" s="801">
        <f>VLOOKUP($EV$97,$EV$66:$FT$91,12,FALSE)/VLOOKUP($EV$97,$EV$66:$FT$91,16,FALSE)</f>
        <v>0.29004684114431839</v>
      </c>
      <c r="FD97" s="801">
        <f>VLOOKUP($EV$97,$EV$66:$FT$91,13,FALSE)/VLOOKUP($EV$97,$EV$66:$FT$91,17,FALSE)</f>
        <v>0.51338920092337348</v>
      </c>
      <c r="FE97" s="764">
        <f>VLOOKUP($EV$97,$EV$66:$FT$91,18,FALSE)/VLOOKUP($EV$97,$EV$66:$FT$91,22,FALSE)</f>
        <v>0.38958819866560074</v>
      </c>
      <c r="FF97" s="801">
        <f>VLOOKUP($EV$97,$EV$66:$FT$91,19,FALSE)/VLOOKUP($EV$97,$EV$66:$FT$91,23,FALSE)</f>
        <v>0.37218100013578514</v>
      </c>
      <c r="FG97" s="801">
        <f>VLOOKUP($EV$97,$EV$66:$FT$91,20,FALSE)/VLOOKUP($EV$97,$EV$66:$FT$91,24,FALSE)</f>
        <v>0.40848553935496851</v>
      </c>
      <c r="FH97" s="804">
        <f>VLOOKUP($EV$97,$EV$66:$FT$91,21,FALSE)/VLOOKUP($EV$97,$EV$66:$FT$91,25,FALSE)</f>
        <v>0.56030807753461764</v>
      </c>
      <c r="FJ97" s="55"/>
      <c r="FK97" s="55"/>
      <c r="FL97" s="55"/>
      <c r="FM97" s="55"/>
      <c r="FV97" s="180" t="str">
        <f>INDEX('Aides traitements'!$A$5:$A$58,'Page de garde'!$C$4,1)</f>
        <v>Paul Bert</v>
      </c>
      <c r="FW97" s="764">
        <f>VLOOKUP($FV$97,$FV$66:$GH$91,2,FALSE)/(VLOOKUP($FV$97,$FV$66:$GH$91,2,FALSE)+VLOOKUP($FV$97,$FV$66:$GH$91,3,FALSE)+VLOOKUP($FV$97,$FV$66:$GH$91,4,FALSE)+VLOOKUP($FV$97,$FV$66:$GH$91,5,FALSE))</f>
        <v>0.62609159933364711</v>
      </c>
      <c r="FX97" s="801">
        <f>VLOOKUP($FV$97,$FV$66:$GH$91,3,FALSE)/(VLOOKUP($FV$97,$FV$66:$GH$91,2,FALSE)+VLOOKUP($FV$97,$FV$66:$GH$91,3,FALSE)+VLOOKUP($FV$97,$FV$66:$GH$91,4,FALSE)+VLOOKUP($FV$97,$FV$66:$GH$91,5,FALSE))</f>
        <v>0.1778385637711937</v>
      </c>
      <c r="FY97" s="801">
        <f>VLOOKUP($FV$97,$FV$66:$GH$91,4,FALSE)/(VLOOKUP($FV$97,$FV$66:$GH$91,2,FALSE)+VLOOKUP($FV$97,$FV$66:$GH$91,3,FALSE)+VLOOKUP($FV$97,$FV$66:$GH$91,4,FALSE)+VLOOKUP($FV$97,$FV$66:$GH$91,5,FALSE))</f>
        <v>0.13747376969511288</v>
      </c>
      <c r="FZ97" s="804">
        <f>VLOOKUP($FV$97,$FV$66:$GH$91,5,FALSE)/(VLOOKUP($FV$97,$FV$66:$GH$91,2,FALSE)+VLOOKUP($FV$97,$FV$66:$GH$91,3,FALSE)+VLOOKUP($FV$97,$FV$66:$GH$91,4,FALSE)+VLOOKUP($FV$97,$FV$66:$GH$91,5,FALSE))</f>
        <v>5.8596067200046377E-2</v>
      </c>
      <c r="GA97" s="764">
        <f>VLOOKUP($FV$97,$FV$66:$GH$91,6,FALSE)/(VLOOKUP($FV$97,$FV$66:$GH$91,6,FALSE)+VLOOKUP($FV$97,$FV$66:$GH$91,7,FALSE)+VLOOKUP($FV$97,$FV$66:$GH$91,8,FALSE)+VLOOKUP($FV$97,$FV$66:$GH$91,9,FALSE))</f>
        <v>0.59014584059979136</v>
      </c>
      <c r="GB97" s="801">
        <f>VLOOKUP($FV$97,$FV$66:$GH$91,7,FALSE)/(VLOOKUP($FV$97,$FV$66:$GH$91,6,FALSE)+VLOOKUP($FV$97,$FV$66:$GH$91,7,FALSE)+VLOOKUP($FV$97,$FV$66:$GH$91,8,FALSE)+VLOOKUP($FV$97,$FV$66:$GH$91,9,FALSE))</f>
        <v>0.19654252318347201</v>
      </c>
      <c r="GC97" s="801">
        <f>VLOOKUP($FV$97,$FV$66:$GH$91,8,FALSE)/(VLOOKUP($FV$97,$FV$66:$GH$91,6,FALSE)+VLOOKUP($FV$97,$FV$66:$GH$91,7,FALSE)+VLOOKUP($FV$97,$FV$66:$GH$91,8,FALSE)+VLOOKUP($FV$97,$FV$66:$GH$91,9,FALSE))</f>
        <v>0.13510677588528083</v>
      </c>
      <c r="GD97" s="804">
        <f>VLOOKUP($FV$97,$FV$66:$GH$91,9,FALSE)/(VLOOKUP($FV$97,$FV$66:$GH$91,6,FALSE)+VLOOKUP($FV$97,$FV$66:$GH$91,7,FALSE)+VLOOKUP($FV$97,$FV$66:$GH$91,8,FALSE)+VLOOKUP($FV$97,$FV$66:$GH$91,9,FALSE))</f>
        <v>7.8204860331455642E-2</v>
      </c>
      <c r="GE97" s="764">
        <f>VLOOKUP($FV$97,$FV$66:$GH$91,10,FALSE)/(VLOOKUP($FV$97,$FV$66:$GH$91,10,FALSE)+VLOOKUP($FV$97,$FV$66:$GH$91,11,FALSE)+VLOOKUP($FV$97,$FV$66:$GH$91,12,FALSE)+VLOOKUP($FV$97,$FV$66:$GH$91,13,FALSE))</f>
        <v>0.54115732104555303</v>
      </c>
      <c r="GF97" s="801">
        <f>VLOOKUP($FV$97,$FV$66:$GH$91,11,FALSE)/(VLOOKUP($FV$97,$FV$66:$GH$91,10,FALSE)+VLOOKUP($FV$97,$FV$66:$GH$91,11,FALSE)+VLOOKUP($FV$97,$FV$66:$GH$91,12,FALSE)+VLOOKUP($FV$97,$FV$66:$GH$91,13,FALSE))</f>
        <v>0.21392082617800778</v>
      </c>
      <c r="GG97" s="801">
        <f>VLOOKUP($FV$97,$FV$66:$GH$91,12,FALSE)/(VLOOKUP($FV$97,$FV$66:$GH$91,10,FALSE)+VLOOKUP($FV$97,$FV$66:$GH$91,11,FALSE)+VLOOKUP($FV$97,$FV$66:$GH$91,12,FALSE)+VLOOKUP($FV$97,$FV$66:$GH$91,13,FALSE))</f>
        <v>0.19708955433628408</v>
      </c>
      <c r="GH97" s="804">
        <f>VLOOKUP($FV$97,$FV$66:$GH$91,13,FALSE)/(VLOOKUP($FV$97,$FV$66:$GH$91,10,FALSE)+VLOOKUP($FV$97,$FV$66:$GH$91,11,FALSE)+VLOOKUP($FV$97,$FV$66:$GH$91,12,FALSE)+VLOOKUP($FV$97,$FV$66:$GH$91,13,FALSE))</f>
        <v>4.7832298440155234E-2</v>
      </c>
      <c r="GJ97" s="136"/>
      <c r="GK97" s="177"/>
      <c r="GL97" s="177"/>
      <c r="GM97" s="177"/>
      <c r="GN97" s="177"/>
      <c r="GO97" s="180" t="str">
        <f>INDEX('Aides traitements'!$A$5:$A$58,'Page de garde'!$C$4,1)</f>
        <v>Paul Bert</v>
      </c>
      <c r="GP97" s="764">
        <f>VLOOKUP($GO$97,$GO$66:$GX$91,2,FALSE)/(VLOOKUP($GO$97,$GO$66:$GX$91,2,FALSE)+VLOOKUP($GO$97,$GO$66:$GX$91,3,FALSE)+VLOOKUP($GO$97,$GO$66:$GX$91,4,FALSE))</f>
        <v>0.91161514870200511</v>
      </c>
      <c r="GQ97" s="801">
        <f>VLOOKUP($GO$97,$GO$66:$GX$91,3,FALSE)/(VLOOKUP($GO$97,$GO$66:$GX$91,2,FALSE)+VLOOKUP($GO$97,$GO$66:$GX$91,3,FALSE)+VLOOKUP($GO$97,$GO$66:$GX$91,4,FALSE))</f>
        <v>2.0181132334935691E-2</v>
      </c>
      <c r="GR97" s="804">
        <f>VLOOKUP($GO$97,$GO$66:$GX$91,4,FALSE)/(VLOOKUP($GO$97,$GO$66:$GX$91,2,FALSE)+VLOOKUP($GO$97,$GO$66:$GX$91,3,FALSE)+VLOOKUP($GO$97,$GO$66:$GX$91,4,FALSE))</f>
        <v>6.8203718963059295E-2</v>
      </c>
      <c r="GS97" s="764">
        <f>VLOOKUP($GO$97,$GO$66:$GX$91,5,FALSE)/(VLOOKUP($GO$97,$GO$66:$GX$91,5,FALSE)+VLOOKUP($GO$97,$GO$66:$GX$91,6,FALSE)+VLOOKUP($GO$97,$GO$66:$GX$91,7,FALSE))</f>
        <v>0.86926922678269658</v>
      </c>
      <c r="GT97" s="801">
        <f>VLOOKUP($GO$97,$GO$66:$GX$91,6,FALSE)/(VLOOKUP($GO$97,$GO$66:$GX$91,5,FALSE)+VLOOKUP($GO$97,$GO$66:$GX$91,6,FALSE)+VLOOKUP($GO$97,$GO$66:$GX$91,7,FALSE))</f>
        <v>1.5858507560437846E-2</v>
      </c>
      <c r="GU97" s="804">
        <f>VLOOKUP($GO$97,$GO$66:$GX$91,7,FALSE)/(VLOOKUP($GO$97,$GO$66:$GX$91,5,FALSE)+VLOOKUP($GO$97,$GO$66:$GX$91,6,FALSE)+VLOOKUP($GO$97,$GO$66:$GX$91,7,FALSE))</f>
        <v>0.11487226565686558</v>
      </c>
      <c r="GV97" s="764">
        <f>VLOOKUP($GO$97,$GO$66:$GX$91,8,FALSE)/(VLOOKUP($GO$97,$GO$66:$GX$91,8,FALSE)+VLOOKUP($GO$97,$GO$66:$GX$91,9,FALSE)+VLOOKUP($GO$97,$GO$66:$GX$91,10,FALSE))</f>
        <v>0.83060770319747912</v>
      </c>
      <c r="GW97" s="801">
        <f>VLOOKUP($GO$97,$GO$66:$GX$91,9,FALSE)/(VLOOKUP($GO$97,$GO$66:$GX$91,8,FALSE)+VLOOKUP($GO$97,$GO$66:$GX$91,9,FALSE)+VLOOKUP($GO$97,$GO$66:$GX$91,10,FALSE))</f>
        <v>3.1238821785289524E-2</v>
      </c>
      <c r="GX97" s="804">
        <f>VLOOKUP($GO$97,$GO$66:$GX$91,10,FALSE)/(VLOOKUP($GO$97,$GO$66:$GX$91,8,FALSE)+VLOOKUP($GO$97,$GO$66:$GX$91,9,FALSE)+VLOOKUP($GO$97,$GO$66:$GX$91,10,FALSE))</f>
        <v>0.13815347501723133</v>
      </c>
      <c r="GZ97" s="180" t="str">
        <f>INDEX('Aides traitements'!$A$5:$A$58,'Page de garde'!$C$4,1)</f>
        <v>Paul Bert</v>
      </c>
      <c r="HA97" s="764">
        <f>VLOOKUP($GZ$97,$GZ$66:$HI$91,2,FALSE)/(VLOOKUP($GZ$97,$GZ$66:$HI$91,2,FALSE)+VLOOKUP($GZ$97,$GZ$66:$HI$91,3,FALSE)+VLOOKUP($GZ$97,$GZ$66:$HI$91,4,FALSE))</f>
        <v>0.32491219428555679</v>
      </c>
      <c r="HB97" s="801">
        <f>VLOOKUP($GZ$97,$GZ$66:$HI$91,3,FALSE)/(VLOOKUP($GZ$97,$GZ$66:$HI$91,2,FALSE)+VLOOKUP($GZ$97,$GZ$66:$HI$91,3,FALSE)+VLOOKUP($GZ$97,$GZ$66:$HI$91,4,FALSE))</f>
        <v>0.66584129343962672</v>
      </c>
      <c r="HC97" s="804">
        <f>VLOOKUP($GZ$97,$GZ$66:$HI$91,4,FALSE)/(VLOOKUP($GZ$97,$GZ$66:$HI$91,2,FALSE)+VLOOKUP($GZ$97,$GZ$66:$HI$91,3,FALSE)+VLOOKUP($GZ$97,$GZ$66:$HI$91,4,FALSE))</f>
        <v>9.2465122748165169E-3</v>
      </c>
      <c r="HD97" s="764">
        <f>VLOOKUP($GZ$97,$GZ$66:$HI$91,5,FALSE)/(VLOOKUP($GZ$97,$GZ$66:$HI$91,5,FALSE)+VLOOKUP($GZ$97,$GZ$66:$HI$91,6,FALSE)+VLOOKUP($GZ$97,$GZ$66:$HI$91,7,FALSE))</f>
        <v>0.33199499966883395</v>
      </c>
      <c r="HE97" s="801">
        <f>VLOOKUP($GZ$97,$GZ$66:$HI$91,6,FALSE)/(VLOOKUP($GZ$97,$GZ$66:$HI$91,5,FALSE)+VLOOKUP($GZ$97,$GZ$66:$HI$91,6,FALSE)+VLOOKUP($GZ$97,$GZ$66:$HI$91,7,FALSE))</f>
        <v>0.64967304631405964</v>
      </c>
      <c r="HF97" s="804">
        <f>VLOOKUP($GZ$97,$GZ$66:$HI$91,7,FALSE)/(VLOOKUP($GZ$97,$GZ$66:$HI$91,5,FALSE)+VLOOKUP($GZ$97,$GZ$66:$HI$91,6,FALSE)+VLOOKUP($GZ$97,$GZ$66:$HI$91,7,FALSE))</f>
        <v>1.8331954017106359E-2</v>
      </c>
      <c r="HG97" s="764">
        <f>VLOOKUP($GZ$97,$GZ$66:$HI$91,8,FALSE)/(VLOOKUP($GZ$97,$GZ$66:$HI$91,8,FALSE)+VLOOKUP($GZ$97,$GZ$66:$HI$91,9,FALSE)+VLOOKUP($GZ$97,$GZ$66:$HI$91,10,FALSE))</f>
        <v>0.30442201636326283</v>
      </c>
      <c r="HH97" s="801">
        <f>VLOOKUP($GZ$97,$GZ$66:$HI$91,9,FALSE)/(VLOOKUP($GZ$97,$GZ$66:$HI$91,8,FALSE)+VLOOKUP($GZ$97,$GZ$66:$HI$91,9,FALSE)+VLOOKUP($GZ$97,$GZ$66:$HI$91,10,FALSE))</f>
        <v>0.68660383846188933</v>
      </c>
      <c r="HI97" s="804">
        <f>VLOOKUP($GZ$97,$GZ$66:$HI$91,10,FALSE)/(VLOOKUP($GZ$97,$GZ$66:$HI$91,8,FALSE)+VLOOKUP($GZ$97,$GZ$66:$HI$91,9,FALSE)+VLOOKUP($GZ$97,$GZ$66:$HI$91,10,FALSE))</f>
        <v>8.9741451748478421E-3</v>
      </c>
      <c r="HK97" s="136"/>
      <c r="HL97" s="177"/>
      <c r="HM97" s="177"/>
      <c r="HN97" s="177"/>
      <c r="HO97" s="177"/>
      <c r="HP97" s="177"/>
      <c r="HQ97" s="177"/>
      <c r="HR97" s="177"/>
      <c r="HS97" s="177"/>
      <c r="HT97" s="177"/>
      <c r="HU97" s="177"/>
      <c r="HV97" s="180" t="str">
        <f>INDEX('Aides traitements'!$A$5:$A$58,'Page de garde'!$C$4,1)</f>
        <v>Paul Bert</v>
      </c>
      <c r="HW97" s="764">
        <f>VLOOKUP($HV$97,$HV$66:$IN$91,2,FALSE)/(VLOOKUP($HV$97,$HV$66:$IN$91,2,FALSE)+VLOOKUP($HV$97,$HV$66:$IN$91,5,FALSE))</f>
        <v>0.32934062233213829</v>
      </c>
      <c r="HX97" s="800">
        <f>VLOOKUP($HV$97,$HV$66:$IN$91,4,FALSE)</f>
        <v>4.4746419747211812</v>
      </c>
      <c r="HY97" s="801">
        <f>VLOOKUP($HV$97,$HV$66:$IN$91,5,FALSE)/(VLOOKUP($HV$97,$HV$66:$IN$91,2,FALSE)+VLOOKUP($HV$97,$HV$66:$IN$91,5,FALSE))</f>
        <v>0.67065937766786177</v>
      </c>
      <c r="HZ97" s="800">
        <f>VLOOKUP($HV$97,$HV$66:$IN$91,7,FALSE)</f>
        <v>2.3918923167233745</v>
      </c>
      <c r="IA97" s="764">
        <f>VLOOKUP($HV$97,$HV$66:$IN$91,8,FALSE)/(VLOOKUP($HV$97,$HV$66:$IN$91,8,FALSE)+VLOOKUP($HV$97,$HV$66:$IN$91,11,FALSE))</f>
        <v>0.35709254286710657</v>
      </c>
      <c r="IB97" s="800">
        <f>VLOOKUP($HV$97,$HV$66:$IN$91,10,FALSE)</f>
        <v>4.9160746358814205</v>
      </c>
      <c r="IC97" s="801">
        <f>VLOOKUP($HV$97,$HV$66:$IN$91,11,FALSE)/(VLOOKUP($HV$97,$HV$66:$IN$91,8,FALSE)+VLOOKUP($HV$97,$HV$66:$IN$91,11,FALSE))</f>
        <v>0.64290745713289343</v>
      </c>
      <c r="ID97" s="800">
        <f>VLOOKUP($HV$97,$HV$66:$IN$91,13,FALSE)</f>
        <v>2.4375395502192814</v>
      </c>
      <c r="IE97" s="764">
        <f>VLOOKUP($HV$97,$HV$66:$IN$91,14,FALSE)/(VLOOKUP($HV$97,$HV$66:$IN$91,14,FALSE)+VLOOKUP($HV$97,$HV$66:$IN$91,17,FALSE))</f>
        <v>0.33177449323321762</v>
      </c>
      <c r="IF97" s="800">
        <f>VLOOKUP($HV$97,$HV$66:$IN$91,16,FALSE)</f>
        <v>4.6947489966780926</v>
      </c>
      <c r="IG97" s="801">
        <f>VLOOKUP($HV$97,$HV$66:$IN$91,17,FALSE)/(VLOOKUP($HV$97,$HV$66:$IN$91,14,FALSE)+VLOOKUP($HV$97,$HV$66:$IN$91,17,FALSE))</f>
        <v>0.66822550676678238</v>
      </c>
      <c r="IH97" s="803">
        <f>VLOOKUP($HV$97,$HV$66:$IN$91,19,FALSE)</f>
        <v>2.3692584085765369</v>
      </c>
      <c r="IP97" s="180" t="str">
        <f>INDEX('Aides traitements'!$A$5:$A$58,'Page de garde'!$C$4,1)</f>
        <v>Paul Bert</v>
      </c>
      <c r="IQ97" s="764">
        <f>VLOOKUP($IP$97,$IP$66:$JH$91,2,FALSE)/(VLOOKUP($IP$97,$IP$66:$JH$91,2,FALSE)+VLOOKUP($IP$97,$IP$66:$JH$91,3,FALSE)+VLOOKUP($IP$97,$IP$66:$JH$91,4,FALSE)+VLOOKUP($IP$97,$IP$66:$JH$91,5,FALSE)+VLOOKUP($IP$97,$IP$66:$JH$91,6,FALSE))</f>
        <v>0.16118733732310844</v>
      </c>
      <c r="IR97" s="801">
        <f>VLOOKUP($IP$97,$IP$66:$JH$91,3,FALSE)/(VLOOKUP($IP$97,$IP$66:$JH$91,2,FALSE)+VLOOKUP($IP$97,$IP$66:$JH$91,3,FALSE)+VLOOKUP($IP$97,$IP$66:$JH$91,4,FALSE)+VLOOKUP($IP$97,$IP$66:$JH$91,5,FALSE)+VLOOKUP($IP$97,$IP$66:$JH$91,6,FALSE))</f>
        <v>0.31239144553215892</v>
      </c>
      <c r="IS97" s="801">
        <f>VLOOKUP($IP$97,$IP$66:$JH$91,4,FALSE)/(VLOOKUP($IP$97,$IP$66:$JH$91,2,FALSE)+VLOOKUP($IP$97,$IP$66:$JH$91,3,FALSE)+VLOOKUP($IP$97,$IP$66:$JH$91,4,FALSE)+VLOOKUP($IP$97,$IP$66:$JH$91,5,FALSE)+VLOOKUP($IP$97,$IP$66:$JH$91,6,FALSE))</f>
        <v>0.21512255470210936</v>
      </c>
      <c r="IT97" s="801">
        <f>VLOOKUP($IP$97,$IP$66:$JH$91,5,FALSE)/(VLOOKUP($IP$97,$IP$66:$JH$91,2,FALSE)+VLOOKUP($IP$97,$IP$66:$JH$91,3,FALSE)+VLOOKUP($IP$97,$IP$66:$JH$91,4,FALSE)+VLOOKUP($IP$97,$IP$66:$JH$91,5,FALSE)+VLOOKUP($IP$97,$IP$66:$JH$91,6,FALSE))</f>
        <v>0.1148006118390503</v>
      </c>
      <c r="IU97" s="804">
        <f>VLOOKUP($IP$97,$IP$66:$JH$91,6,FALSE)/(VLOOKUP($IP$97,$IP$66:$JH$91,2,FALSE)+VLOOKUP($IP$97,$IP$66:$JH$91,3,FALSE)+VLOOKUP($IP$97,$IP$66:$JH$91,4,FALSE)+VLOOKUP($IP$97,$IP$66:$JH$91,5,FALSE)+VLOOKUP($IP$97,$IP$66:$JH$91,6,FALSE))</f>
        <v>0.19649805060357292</v>
      </c>
      <c r="IV97" s="805"/>
      <c r="IW97" s="764">
        <f>VLOOKUP($IP$97,$IP$66:$JH$91,8,FALSE)/(VLOOKUP($IP$97,$IP$66:$JH$91,8,FALSE)+VLOOKUP($IP$97,$IP$66:$JH$91,9,FALSE)+VLOOKUP($IP$97,$IP$66:$JH$91,10,FALSE)+VLOOKUP($IP$97,$IP$66:$JH$91,11,FALSE)+VLOOKUP($IP$97,$IP$66:$JH$91,12,FALSE))</f>
        <v>0.17395915864421624</v>
      </c>
      <c r="IX97" s="801">
        <f>VLOOKUP($IP$97,$IP$66:$JH$91,9,FALSE)/(VLOOKUP($IP$97,$IP$66:$JH$91,8,FALSE)+VLOOKUP($IP$97,$IP$66:$JH$91,9,FALSE)+VLOOKUP($IP$97,$IP$66:$JH$91,10,FALSE)+VLOOKUP($IP$97,$IP$66:$JH$91,11,FALSE)+VLOOKUP($IP$97,$IP$66:$JH$91,12,FALSE))</f>
        <v>0.25653753294952214</v>
      </c>
      <c r="IY97" s="801">
        <f>VLOOKUP($IP$97,$IP$66:$JH$91,10,FALSE)/(VLOOKUP($IP$97,$IP$66:$JH$91,8,FALSE)+VLOOKUP($IP$97,$IP$66:$JH$91,9,FALSE)+VLOOKUP($IP$97,$IP$66:$JH$91,10,FALSE)+VLOOKUP($IP$97,$IP$66:$JH$91,11,FALSE)+VLOOKUP($IP$97,$IP$66:$JH$91,12,FALSE))</f>
        <v>0.19292435877720041</v>
      </c>
      <c r="IZ97" s="801">
        <f>VLOOKUP($IP$97,$IP$66:$JH$91,11,FALSE)/(VLOOKUP($IP$97,$IP$66:$JH$91,8,FALSE)+VLOOKUP($IP$97,$IP$66:$JH$91,9,FALSE)+VLOOKUP($IP$97,$IP$66:$JH$91,10,FALSE)+VLOOKUP($IP$97,$IP$66:$JH$91,11,FALSE)+VLOOKUP($IP$97,$IP$66:$JH$91,12,FALSE))</f>
        <v>0.12807330638815076</v>
      </c>
      <c r="JA97" s="804">
        <f>VLOOKUP($IP$97,$IP$66:$JH$91,12,FALSE)/(VLOOKUP($IP$97,$IP$66:$JH$91,8,FALSE)+VLOOKUP($IP$97,$IP$66:$JH$91,9,FALSE)+VLOOKUP($IP$97,$IP$66:$JH$91,10,FALSE)+VLOOKUP($IP$97,$IP$66:$JH$91,11,FALSE)+VLOOKUP($IP$97,$IP$66:$JH$91,12,FALSE))</f>
        <v>0.24850564324091051</v>
      </c>
      <c r="JB97" s="805"/>
      <c r="JC97" s="764">
        <f>VLOOKUP($IP$97,$IP$66:$JH$91,14,FALSE)/(VLOOKUP($IP$97,$IP$66:$JH$91,14,FALSE)+VLOOKUP($IP$97,$IP$66:$JH$91,15,FALSE)+VLOOKUP($IP$97,$IP$66:$JH$91,16,FALSE)+VLOOKUP($IP$97,$IP$66:$JH$91,17,FALSE)+VLOOKUP($IP$97,$IP$66:$JH$91,18,FALSE))</f>
        <v>0.15079793529159594</v>
      </c>
      <c r="JD97" s="801">
        <f>VLOOKUP($IP$97,$IP$66:$JH$91,15,FALSE)/(VLOOKUP($IP$97,$IP$66:$JH$91,14,FALSE)+VLOOKUP($IP$97,$IP$66:$JH$91,15,FALSE)+VLOOKUP($IP$97,$IP$66:$JH$91,16,FALSE)+VLOOKUP($IP$97,$IP$66:$JH$91,17,FALSE)+VLOOKUP($IP$97,$IP$66:$JH$91,18,FALSE))</f>
        <v>0.30109460995343179</v>
      </c>
      <c r="JE97" s="801">
        <f>VLOOKUP($IP$97,$IP$66:$JH$91,16,FALSE)/(VLOOKUP($IP$97,$IP$66:$JH$91,14,FALSE)+VLOOKUP($IP$97,$IP$66:$JH$91,15,FALSE)+VLOOKUP($IP$97,$IP$66:$JH$91,16,FALSE)+VLOOKUP($IP$97,$IP$66:$JH$91,17,FALSE)+VLOOKUP($IP$97,$IP$66:$JH$91,18,FALSE))</f>
        <v>0.22269480883513051</v>
      </c>
      <c r="JF97" s="801">
        <f>VLOOKUP($IP$97,$IP$66:$JH$91,17,FALSE)/(VLOOKUP($IP$97,$IP$66:$JH$91,14,FALSE)+VLOOKUP($IP$97,$IP$66:$JH$91,15,FALSE)+VLOOKUP($IP$97,$IP$66:$JH$91,16,FALSE)+VLOOKUP($IP$97,$IP$66:$JH$91,17,FALSE)+VLOOKUP($IP$97,$IP$66:$JH$91,18,FALSE))</f>
        <v>0.13562789318372159</v>
      </c>
      <c r="JG97" s="804">
        <f>VLOOKUP($IP$97,$IP$66:$JH$91,18,FALSE)/(VLOOKUP($IP$97,$IP$66:$JH$91,14,FALSE)+VLOOKUP($IP$97,$IP$66:$JH$91,15,FALSE)+VLOOKUP($IP$97,$IP$66:$JH$91,16,FALSE)+VLOOKUP($IP$97,$IP$66:$JH$91,17,FALSE)+VLOOKUP($IP$97,$IP$66:$JH$91,18,FALSE))</f>
        <v>0.18978475273612028</v>
      </c>
      <c r="JJ97" s="180" t="str">
        <f>INDEX('Aides traitements'!$A$5:$A$58,'Page de garde'!$C$4,1)</f>
        <v>Paul Bert</v>
      </c>
      <c r="JK97" s="764">
        <f>VLOOKUP($JJ$97,$JJ$66:$JV$91,2,FALSE)/(VLOOKUP($JJ$97,$JJ$66:$JV$91,2,FALSE)+VLOOKUP($JJ$97,$JJ$66:$JV$91,3,FALSE)+VLOOKUP($JJ$97,$JJ$66:$JV$91,4,FALSE)+VLOOKUP($JJ$97,$JJ$66:$JV$91,5,FALSE))</f>
        <v>0.4380262746948681</v>
      </c>
      <c r="JL97" s="801">
        <f>VLOOKUP($JJ$97,$JJ$66:$JV$91,3,FALSE)/(VLOOKUP($JJ$97,$JJ$66:$JV$91,2,FALSE)+VLOOKUP($JJ$97,$JJ$66:$JV$91,3,FALSE)+VLOOKUP($JJ$97,$JJ$66:$JV$91,4,FALSE)+VLOOKUP($JJ$97,$JJ$66:$JV$91,5,FALSE))</f>
        <v>0.53582134616266408</v>
      </c>
      <c r="JM97" s="801">
        <f>VLOOKUP($JJ$97,$JJ$66:$JV$91,4,FALSE)/(VLOOKUP($JJ$97,$JJ$66:$JV$91,2,FALSE)+VLOOKUP($JJ$97,$JJ$66:$JV$91,3,FALSE)+VLOOKUP($JJ$97,$JJ$66:$JV$91,4,FALSE)+VLOOKUP($JJ$97,$JJ$66:$JV$91,5,FALSE))</f>
        <v>7.2497627828184827E-3</v>
      </c>
      <c r="JN97" s="801">
        <f>VLOOKUP($JJ$97,$JJ$66:$JV$91,5,FALSE)/(VLOOKUP($JJ$97,$JJ$66:$JV$91,2,FALSE)+VLOOKUP($JJ$97,$JJ$66:$JV$91,3,FALSE)+VLOOKUP($JJ$97,$JJ$66:$JV$91,4,FALSE)+VLOOKUP($JJ$97,$JJ$66:$JV$91,5,FALSE))</f>
        <v>1.89026163596493E-2</v>
      </c>
      <c r="JO97" s="764">
        <f>VLOOKUP($JJ$97,$JJ$66:$JV$91,6,FALSE)/(VLOOKUP($JJ$97,$JJ$66:$JV$91,6,FALSE)+VLOOKUP($JJ$97,$JJ$66:$JV$91,7,FALSE)+VLOOKUP($JJ$97,$JJ$66:$JV$91,8,FALSE)+VLOOKUP($JJ$97,$JJ$66:$JV$91,9,FALSE))</f>
        <v>0.50673704029537592</v>
      </c>
      <c r="JP97" s="801">
        <f>VLOOKUP($JJ$97,$JJ$66:$JV$91,7,FALSE)/(VLOOKUP($JJ$97,$JJ$66:$JV$91,6,FALSE)+VLOOKUP($JJ$97,$JJ$66:$JV$91,7,FALSE)+VLOOKUP($JJ$97,$JJ$66:$JV$91,8,FALSE)+VLOOKUP($JJ$97,$JJ$66:$JV$91,9,FALSE))</f>
        <v>0.45532972735236804</v>
      </c>
      <c r="JQ97" s="801">
        <f>VLOOKUP($JJ$97,$JJ$66:$JV$91,8,FALSE)/(VLOOKUP($JJ$97,$JJ$66:$JV$91,6,FALSE)+VLOOKUP($JJ$97,$JJ$66:$JV$91,7,FALSE)+VLOOKUP($JJ$97,$JJ$66:$JV$91,8,FALSE)+VLOOKUP($JJ$97,$JJ$66:$JV$91,9,FALSE))</f>
        <v>9.25905084692627E-3</v>
      </c>
      <c r="JR97" s="801">
        <f>VLOOKUP($JJ$97,$JJ$66:$JV$91,9,FALSE)/(VLOOKUP($JJ$97,$JJ$66:$JV$91,6,FALSE)+VLOOKUP($JJ$97,$JJ$66:$JV$91,7,FALSE)+VLOOKUP($JJ$97,$JJ$66:$JV$91,8,FALSE)+VLOOKUP($JJ$97,$JJ$66:$JV$91,9,FALSE))</f>
        <v>2.8674181505329695E-2</v>
      </c>
      <c r="JS97" s="764">
        <f>VLOOKUP($JJ$97,$JJ$66:$JV$91,10,FALSE)/(VLOOKUP($JJ$97,$JJ$66:$JV$91,10,FALSE)+VLOOKUP($JJ$97,$JJ$66:$JV$91,11,FALSE)+VLOOKUP($JJ$97,$JJ$66:$JV$91,12,FALSE)+VLOOKUP($JJ$97,$JJ$66:$JV$91,13,FALSE))</f>
        <v>0.4273828494290553</v>
      </c>
      <c r="JT97" s="801">
        <f>VLOOKUP($JJ$97,$JJ$66:$JV$91,11,FALSE)/(VLOOKUP($JJ$97,$JJ$66:$JV$91,10,FALSE)+VLOOKUP($JJ$97,$JJ$66:$JV$91,11,FALSE)+VLOOKUP($JJ$97,$JJ$66:$JV$91,12,FALSE)+VLOOKUP($JJ$97,$JJ$66:$JV$91,13,FALSE))</f>
        <v>0.52788001296038933</v>
      </c>
      <c r="JU97" s="801">
        <f>VLOOKUP($JJ$97,$JJ$66:$JV$91,12,FALSE)/(VLOOKUP($JJ$97,$JJ$66:$JV$91,10,FALSE)+VLOOKUP($JJ$97,$JJ$66:$JV$91,11,FALSE)+VLOOKUP($JJ$97,$JJ$66:$JV$91,12,FALSE)+VLOOKUP($JJ$97,$JJ$66:$JV$91,13,FALSE))</f>
        <v>3.2317376747833387E-2</v>
      </c>
      <c r="JV97" s="804">
        <f>VLOOKUP($JJ$97,$JJ$66:$JV$91,13,FALSE)/(VLOOKUP($JJ$97,$JJ$66:$JV$91,10,FALSE)+VLOOKUP($JJ$97,$JJ$66:$JV$91,11,FALSE)+VLOOKUP($JJ$97,$JJ$66:$JV$91,12,FALSE)+VLOOKUP($JJ$97,$JJ$66:$JV$91,13,FALSE))</f>
        <v>1.2419760862721998E-2</v>
      </c>
      <c r="JW97" s="136"/>
      <c r="JX97" s="180" t="str">
        <f>INDEX('Aides traitements'!$A$5:$A$58,'Page de garde'!$C$4,1)</f>
        <v>Paul Bert</v>
      </c>
      <c r="JY97" s="764">
        <f>VLOOKUP($JX$97,$JX$66:$KB$91,2,FALSE)/(VLOOKUP($JX$97,$JX$66:$KB$91,2,FALSE)+VLOOKUP($JX$97,$JX$66:$KB$91,3,FALSE)+VLOOKUP($JX$97,$JX$66:$KB$91,4,FALSE)+VLOOKUP($JX$97,$JX$66:$KB$91,5,FALSE))</f>
        <v>0.25413069197688165</v>
      </c>
      <c r="JZ97" s="801">
        <f>VLOOKUP($JX$97,$JX$66:$KB$91,3,FALSE)/(VLOOKUP($JX$97,$JX$66:$KB$91,2,FALSE)+VLOOKUP($JX$97,$JX$66:$KB$91,3,FALSE)+VLOOKUP($JX$97,$JX$66:$KB$91,4,FALSE)+VLOOKUP($JX$97,$JX$66:$KB$91,5,FALSE))</f>
        <v>0.29829058100031808</v>
      </c>
      <c r="KA97" s="801">
        <f>VLOOKUP($JX$97,$JX$66:$KB$91,4,FALSE)/(VLOOKUP($JX$97,$JX$66:$KB$91,2,FALSE)+VLOOKUP($JX$97,$JX$66:$KB$91,3,FALSE)+VLOOKUP($JX$97,$JX$66:$KB$91,4,FALSE)+VLOOKUP($JX$97,$JX$66:$KB$91,5,FALSE))</f>
        <v>0.14877491267123841</v>
      </c>
      <c r="KB97" s="804">
        <f>VLOOKUP($JX$97,$JX$66:$KB$91,5,FALSE)/(VLOOKUP($JX$97,$JX$66:$KB$91,2,FALSE)+VLOOKUP($JX$97,$JX$66:$KB$91,3,FALSE)+VLOOKUP($JX$97,$JX$66:$KB$91,4,FALSE)+VLOOKUP($JX$97,$JX$66:$KB$91,5,FALSE))</f>
        <v>0.29880381435156184</v>
      </c>
      <c r="KD97" s="180" t="str">
        <f>INDEX('Aides traitements'!$A$5:$A$58,'Page de garde'!$C$4,1)</f>
        <v>Paul Bert</v>
      </c>
      <c r="KE97" s="764">
        <f>VLOOKUP($KD$97,$KD$66:$KV$91,2,FALSE)/(VLOOKUP($KD$97,$KD$66:$KV$91,2,FALSE)+VLOOKUP($KD$97,$KD$66:$KV$91,3,FALSE)+VLOOKUP($KD$97,$KD$66:$KV$91,4,FALSE)+VLOOKUP($KD$97,$KD$66:$KV$91,5,FALSE)+VLOOKUP($KD$97,$KD$66:$KV$91,6,FALSE)+VLOOKUP($KD$97,$KD$66:$KV$91,7,FALSE))</f>
        <v>0.14947643723953669</v>
      </c>
      <c r="KF97" s="801">
        <f>VLOOKUP($KD$97,$KD$66:$KV$91,3,FALSE)/(VLOOKUP($KD$97,$KD$66:$KV$91,2,FALSE)+VLOOKUP($KD$97,$KD$66:$KV$91,3,FALSE)+VLOOKUP($KD$97,$KD$66:$KV$91,4,FALSE)+VLOOKUP($KD$97,$KD$66:$KV$91,5,FALSE)+VLOOKUP($KD$97,$KD$66:$KV$91,6,FALSE)+VLOOKUP($KD$97,$KD$66:$KV$91,7,FALSE))</f>
        <v>0.12557308286126892</v>
      </c>
      <c r="KG97" s="801">
        <f>VLOOKUP($KD$97,$KD$66:$KV$91,4,FALSE)/(VLOOKUP($KD$97,$KD$66:$KV$91,2,FALSE)+VLOOKUP($KD$97,$KD$66:$KV$91,3,FALSE)+VLOOKUP($KD$97,$KD$66:$KV$91,4,FALSE)+VLOOKUP($KD$97,$KD$66:$KV$91,5,FALSE)+VLOOKUP($KD$97,$KD$66:$KV$91,6,FALSE)+VLOOKUP($KD$97,$KD$66:$KV$91,7,FALSE))</f>
        <v>0.14896333419217145</v>
      </c>
      <c r="KH97" s="801">
        <f>VLOOKUP($KD$97,$KD$66:$KV$91,5,FALSE)/(VLOOKUP($KD$97,$KD$66:$KV$91,2,FALSE)+VLOOKUP($KD$97,$KD$66:$KV$91,3,FALSE)+VLOOKUP($KD$97,$KD$66:$KV$91,4,FALSE)+VLOOKUP($KD$97,$KD$66:$KV$91,5,FALSE)+VLOOKUP($KD$97,$KD$66:$KV$91,6,FALSE)+VLOOKUP($KD$97,$KD$66:$KV$91,7,FALSE))</f>
        <v>0.16577272161859652</v>
      </c>
      <c r="KI97" s="801">
        <f>VLOOKUP($KD$97,$KD$66:$KV$91,6,FALSE)/(VLOOKUP($KD$97,$KD$66:$KV$91,2,FALSE)+VLOOKUP($KD$97,$KD$66:$KV$91,3,FALSE)+VLOOKUP($KD$97,$KD$66:$KV$91,4,FALSE)+VLOOKUP($KD$97,$KD$66:$KV$91,5,FALSE)+VLOOKUP($KD$97,$KD$66:$KV$91,6,FALSE)+VLOOKUP($KD$97,$KD$66:$KV$91,7,FALSE))</f>
        <v>0.19627410341887494</v>
      </c>
      <c r="KJ97" s="804">
        <f>VLOOKUP($KD$97,$KD$66:$KV$91,7,FALSE)/(VLOOKUP($KD$97,$KD$66:$KV$91,2,FALSE)+VLOOKUP($KD$97,$KD$66:$KV$91,3,FALSE)+VLOOKUP($KD$97,$KD$66:$KV$91,4,FALSE)+VLOOKUP($KD$97,$KD$66:$KV$91,5,FALSE)+VLOOKUP($KD$97,$KD$66:$KV$91,6,FALSE)+VLOOKUP($KD$97,$KD$66:$KV$91,7,FALSE))</f>
        <v>0.21394032066955149</v>
      </c>
      <c r="KK97" s="764">
        <f>VLOOKUP($KD$97,$KD$66:$KV$91,8,FALSE)/(VLOOKUP($KD$97,$KD$66:$KV$91,8,FALSE)+VLOOKUP($KD$97,$KD$66:$KV$91,9,FALSE)+VLOOKUP($KD$97,$KD$66:$KV$91,10,FALSE)+VLOOKUP($KD$97,$KD$66:$KV$91,11,FALSE)+VLOOKUP($KD$97,$KD$66:$KV$91,12,FALSE)+VLOOKUP($KD$97,$KD$66:$KV$91,13,FALSE))</f>
        <v>0.32813025083974656</v>
      </c>
      <c r="KL97" s="801">
        <f>VLOOKUP($KD$97,$KD$66:$KV$91,9,FALSE)/(VLOOKUP($KD$97,$KD$66:$KV$91,8,FALSE)+VLOOKUP($KD$97,$KD$66:$KV$91,9,FALSE)+VLOOKUP($KD$97,$KD$66:$KV$91,10,FALSE)+VLOOKUP($KD$97,$KD$66:$KV$91,11,FALSE)+VLOOKUP($KD$97,$KD$66:$KV$91,12,FALSE)+VLOOKUP($KD$97,$KD$66:$KV$91,13,FALSE))</f>
        <v>0.13976404146727497</v>
      </c>
      <c r="KM97" s="801">
        <f>VLOOKUP($KD$97,$KD$66:$KV$91,10,FALSE)/(VLOOKUP($KD$97,$KD$66:$KV$91,8,FALSE)+VLOOKUP($KD$97,$KD$66:$KV$91,9,FALSE)+VLOOKUP($KD$97,$KD$66:$KV$91,10,FALSE)+VLOOKUP($KD$97,$KD$66:$KV$91,11,FALSE)+VLOOKUP($KD$97,$KD$66:$KV$91,12,FALSE)+VLOOKUP($KD$97,$KD$66:$KV$91,13,FALSE))</f>
        <v>0.27296592495054045</v>
      </c>
      <c r="KN97" s="801">
        <f>VLOOKUP($KD$97,$KD$66:$KV$91,11,FALSE)/(VLOOKUP($KD$97,$KD$66:$KV$91,8,FALSE)+VLOOKUP($KD$97,$KD$66:$KV$91,9,FALSE)+VLOOKUP($KD$97,$KD$66:$KV$91,10,FALSE)+VLOOKUP($KD$97,$KD$66:$KV$91,11,FALSE)+VLOOKUP($KD$97,$KD$66:$KV$91,12,FALSE)+VLOOKUP($KD$97,$KD$66:$KV$91,13,FALSE))</f>
        <v>0.13784431369203046</v>
      </c>
      <c r="KO97" s="801">
        <f>VLOOKUP($KD$97,$KD$66:$KV$91,12,FALSE)/(VLOOKUP($KD$97,$KD$66:$KV$91,8,FALSE)+VLOOKUP($KD$97,$KD$66:$KV$91,9,FALSE)+VLOOKUP($KD$97,$KD$66:$KV$91,10,FALSE)+VLOOKUP($KD$97,$KD$66:$KV$91,11,FALSE)+VLOOKUP($KD$97,$KD$66:$KV$91,12,FALSE)+VLOOKUP($KD$97,$KD$66:$KV$91,13,FALSE))</f>
        <v>6.7702958479344225E-2</v>
      </c>
      <c r="KP97" s="804">
        <f>VLOOKUP($KD$97,$KD$66:$KV$91,13,FALSE)/(VLOOKUP($KD$97,$KD$66:$KV$91,8,FALSE)+VLOOKUP($KD$97,$KD$66:$KV$91,9,FALSE)+VLOOKUP($KD$97,$KD$66:$KV$91,10,FALSE)+VLOOKUP($KD$97,$KD$66:$KV$91,11,FALSE)+VLOOKUP($KD$97,$KD$66:$KV$91,12,FALSE)+VLOOKUP($KD$97,$KD$66:$KV$91,13,FALSE))</f>
        <v>5.3592510571063401E-2</v>
      </c>
      <c r="KQ97" s="764">
        <f>VLOOKUP($KD$97,$KD$66:$KV$91,14,FALSE)/(VLOOKUP($KD$97,$KD$66:$KV$91,14,FALSE)+VLOOKUP($KD$97,$KD$66:$KV$91,15,FALSE)+VLOOKUP($KD$97,$KD$66:$KV$91,16,FALSE)+VLOOKUP($KD$97,$KD$66:$KV$91,17,FALSE)+VLOOKUP($KD$97,$KD$66:$KV$91,18,FALSE)+VLOOKUP($KD$97,$KD$66:$KV$91,19,FALSE))</f>
        <v>0.20642385260204335</v>
      </c>
      <c r="KR97" s="801">
        <f>VLOOKUP($KD$97,$KD$66:$KV$91,15,FALSE)/(VLOOKUP($KD$97,$KD$66:$KV$91,14,FALSE)+VLOOKUP($KD$97,$KD$66:$KV$91,15,FALSE)+VLOOKUP($KD$97,$KD$66:$KV$91,16,FALSE)+VLOOKUP($KD$97,$KD$66:$KV$91,17,FALSE)+VLOOKUP($KD$97,$KD$66:$KV$91,18,FALSE)+VLOOKUP($KD$97,$KD$66:$KV$91,19,FALSE))</f>
        <v>0.13138971733775631</v>
      </c>
      <c r="KS97" s="801">
        <f>VLOOKUP($KD$97,$KD$66:$KV$91,16,FALSE)/(VLOOKUP($KD$97,$KD$66:$KV$91,14,FALSE)+VLOOKUP($KD$97,$KD$66:$KV$91,15,FALSE)+VLOOKUP($KD$97,$KD$66:$KV$91,16,FALSE)+VLOOKUP($KD$97,$KD$66:$KV$91,17,FALSE)+VLOOKUP($KD$97,$KD$66:$KV$91,18,FALSE)+VLOOKUP($KD$97,$KD$66:$KV$91,19,FALSE))</f>
        <v>0.1880014376660113</v>
      </c>
      <c r="KT97" s="801">
        <f>VLOOKUP($KD$97,$KD$66:$KV$91,17,FALSE)/(VLOOKUP($KD$97,$KD$66:$KV$91,14,FALSE)+VLOOKUP($KD$97,$KD$66:$KV$91,15,FALSE)+VLOOKUP($KD$97,$KD$66:$KV$91,16,FALSE)+VLOOKUP($KD$97,$KD$66:$KV$91,17,FALSE)+VLOOKUP($KD$97,$KD$66:$KV$91,18,FALSE)+VLOOKUP($KD$97,$KD$66:$KV$91,19,FALSE))</f>
        <v>0.15851182995572649</v>
      </c>
      <c r="KU97" s="801">
        <f>VLOOKUP($KD$97,$KD$66:$KV$91,18,FALSE)/(VLOOKUP($KD$97,$KD$66:$KV$91,14,FALSE)+VLOOKUP($KD$97,$KD$66:$KV$91,15,FALSE)+VLOOKUP($KD$97,$KD$66:$KV$91,16,FALSE)+VLOOKUP($KD$97,$KD$66:$KV$91,17,FALSE)+VLOOKUP($KD$97,$KD$66:$KV$91,18,FALSE)+VLOOKUP($KD$97,$KD$66:$KV$91,19,FALSE))</f>
        <v>0.15258146328270067</v>
      </c>
      <c r="KV97" s="804">
        <f>VLOOKUP($KD$97,$KD$66:$KV$91,19,FALSE)/(VLOOKUP($KD$97,$KD$66:$KV$91,14,FALSE)+VLOOKUP($KD$97,$KD$66:$KV$91,15,FALSE)+VLOOKUP($KD$97,$KD$66:$KV$91,16,FALSE)+VLOOKUP($KD$97,$KD$66:$KV$91,17,FALSE)+VLOOKUP($KD$97,$KD$66:$KV$91,18,FALSE)+VLOOKUP($KD$97,$KD$66:$KV$91,19,FALSE))</f>
        <v>0.16309169915576194</v>
      </c>
      <c r="KX97" s="180" t="str">
        <f>INDEX('Aides traitements'!$A$5:$A$58,'Page de garde'!$C$4,1)</f>
        <v>Paul Bert</v>
      </c>
      <c r="KY97" s="764">
        <f>VLOOKUP($KX$97,$KX$66:$LG$91,2,FALSE)/(VLOOKUP($KX$97,$KX$66:$LG$91,2,FALSE)+VLOOKUP($KX$97,$KX$66:$LG$91,3,FALSE)+VLOOKUP($KX$97,$KX$66:$LG$91,4,FALSE))</f>
        <v>0.24301852290050274</v>
      </c>
      <c r="KZ97" s="801">
        <f>VLOOKUP($KX$97,$KX$66:$LG$91,3,FALSE)/(VLOOKUP($KX$97,$KX$66:$LG$91,2,FALSE)+VLOOKUP($KX$97,$KX$66:$LG$91,3,FALSE)+VLOOKUP($KX$97,$KX$66:$LG$91,4,FALSE))</f>
        <v>0.55711419877227919</v>
      </c>
      <c r="LA97" s="804">
        <f>VLOOKUP($KX$97,$KX$66:$LG$91,4,FALSE)/(VLOOKUP($KX$97,$KX$66:$LG$91,2,FALSE)+VLOOKUP($KX$97,$KX$66:$LG$91,3,FALSE)+VLOOKUP($KX$97,$KX$66:$LG$91,4,FALSE))</f>
        <v>0.19986727832721798</v>
      </c>
      <c r="LB97" s="764">
        <f>VLOOKUP($KX$97,$KX$66:$LG$91,5,FALSE)/(VLOOKUP($KX$97,$KX$66:$LG$91,5,FALSE)+VLOOKUP($KX$97,$KX$66:$LG$91,6,FALSE)+VLOOKUP($KX$97,$KX$66:$LG$91,7,FALSE))</f>
        <v>0.19845950873739671</v>
      </c>
      <c r="LC97" s="801">
        <f>VLOOKUP($KX$97,$KX$66:$LG$91,6,FALSE)/(VLOOKUP($KX$97,$KX$66:$LG$91,5,FALSE)+VLOOKUP($KX$97,$KX$66:$LG$91,6,FALSE)+VLOOKUP($KX$97,$KX$66:$LG$91,7,FALSE))</f>
        <v>0.59700094634790235</v>
      </c>
      <c r="LD97" s="804">
        <f>VLOOKUP($KX$97,$KX$66:$LG$91,7,FALSE)/(VLOOKUP($KX$97,$KX$66:$LG$91,5,FALSE)+VLOOKUP($KX$97,$KX$66:$LG$91,6,FALSE)+VLOOKUP($KX$97,$KX$66:$LG$91,7,FALSE))</f>
        <v>0.20453954491470094</v>
      </c>
      <c r="LE97" s="764">
        <f>VLOOKUP($KX$97,$KX$66:$LG$91,8,FALSE)/(VLOOKUP($KX$97,$KX$66:$LG$91,8,FALSE)+VLOOKUP($KX$97,$KX$66:$LG$91,9,FALSE)+VLOOKUP($KX$97,$KX$66:$LG$91,10,FALSE))</f>
        <v>0.22924649329351682</v>
      </c>
      <c r="LF97" s="801">
        <f>VLOOKUP($KX$97,$KX$66:$LG$91,9,FALSE)/(VLOOKUP($KX$97,$KX$66:$LG$91,8,FALSE)+VLOOKUP($KX$97,$KX$66:$LG$91,9,FALSE)+VLOOKUP($KX$97,$KX$66:$LG$91,10,FALSE))</f>
        <v>0.61462576485867626</v>
      </c>
      <c r="LG97" s="804">
        <f>VLOOKUP($KX$97,$KX$66:$LG$91,10,FALSE)/(VLOOKUP($KX$97,$KX$66:$LG$91,8,FALSE)+VLOOKUP($KX$97,$KX$66:$LG$91,9,FALSE)+VLOOKUP($KX$97,$KX$66:$LG$91,10,FALSE))</f>
        <v>0.15612774184780695</v>
      </c>
      <c r="LH97" s="136"/>
      <c r="LI97" s="180" t="str">
        <f>INDEX('Aides traitements'!$A$5:$A$58,'Page de garde'!$C$4,1)</f>
        <v>Paul Bert</v>
      </c>
      <c r="LJ97" s="764"/>
      <c r="LK97" s="801">
        <f>VLOOKUP($LI$97,$LI$9:$MA$91,3,FALSE)/(VLOOKUP($LI$97,$LI$9:$MA$91,2,FALSE)+VLOOKUP($LI$97,$LI$9:$MA$91,5,FALSE)+VLOOKUP($LI$97,$LI$9:$MA$91,6,FALSE)+VLOOKUP($LI$97,$LI$9:$MA$91,7,FALSE))</f>
        <v>0.57268289970504138</v>
      </c>
      <c r="LL97" s="801">
        <f>VLOOKUP($LI$97,$LI$9:$MA$91,4,FALSE)/(VLOOKUP($LI$97,$LI$9:$MA$91,2,FALSE)+VLOOKUP($LI$97,$LI$9:$MA$91,5,FALSE)+VLOOKUP($LI$97,$LI$9:$MA$91,6,FALSE)+VLOOKUP($LI$97,$LI$9:$MA$91,7,FALSE))</f>
        <v>7.164599756732952E-2</v>
      </c>
      <c r="LM97" s="801">
        <f>VLOOKUP($LI$97,$LI$9:$MA$91,5,FALSE)/(VLOOKUP($LI$97,$LI$9:$MA$91,2,FALSE)+VLOOKUP($LI$97,$LI$9:$MA$91,5,FALSE)+VLOOKUP($LI$97,$LI$9:$MA$91,6,FALSE)+VLOOKUP($LI$97,$LI$9:$MA$91,7,FALSE))</f>
        <v>0.27900729336667518</v>
      </c>
      <c r="LN97" s="801">
        <f>VLOOKUP($LI$97,$LI$9:$MA$91,6,FALSE)/(VLOOKUP($LI$97,$LI$9:$MA$91,2,FALSE)+VLOOKUP($LI$97,$LI$9:$MA$91,5,FALSE)+VLOOKUP($LI$97,$LI$9:$MA$91,6,FALSE)+VLOOKUP($LI$97,$LI$9:$MA$91,7,FALSE))</f>
        <v>3.9626329464039829E-2</v>
      </c>
      <c r="LO97" s="804">
        <f>VLOOKUP($LI$97,$LI$9:$MA$91,7,FALSE)/(VLOOKUP($LI$97,$LI$9:$MA$91,2,FALSE)+VLOOKUP($LI$97,$LI$9:$MA$91,5,FALSE)+VLOOKUP($LI$97,$LI$9:$MA$91,6,FALSE)+VLOOKUP($LI$97,$LI$9:$MA$91,7,FALSE))</f>
        <v>3.7037480387748518E-2</v>
      </c>
      <c r="LP97" s="764"/>
      <c r="LQ97" s="801">
        <f>VLOOKUP($LI$97,$LI$9:$MA$91,9,FALSE)/(VLOOKUP($LI$97,$LI$9:$MA$91,8,FALSE)+VLOOKUP($LI$97,$LI$9:$MA$91,11,FALSE)+VLOOKUP($LI$97,$LI$9:$MA$91,12,FALSE)+VLOOKUP($LI$97,$LI$9:$MA$91,13,FALSE))</f>
        <v>0.52586576904042892</v>
      </c>
      <c r="LR97" s="801">
        <f>VLOOKUP($LI$97,$LI$9:$MA$91,10,FALSE)/(VLOOKUP($LI$97,$LI$9:$MA$91,8,FALSE)+VLOOKUP($LI$97,$LI$9:$MA$91,11,FALSE)+VLOOKUP($LI$97,$LI$9:$MA$91,12,FALSE)+VLOOKUP($LI$97,$LI$9:$MA$91,13,FALSE))</f>
        <v>0.1029689580446235</v>
      </c>
      <c r="LS97" s="801">
        <f>VLOOKUP($LI$97,$LI$9:$MA$91,11,FALSE)/(VLOOKUP($LI$97,$LI$9:$MA$91,8,FALSE)+VLOOKUP($LI$97,$LI$9:$MA$91,11,FALSE)+VLOOKUP($LI$97,$LI$9:$MA$91,12,FALSE)+VLOOKUP($LI$97,$LI$9:$MA$91,13,FALSE))</f>
        <v>0.25191497003045282</v>
      </c>
      <c r="LT97" s="801">
        <f>VLOOKUP($LI$97,$LI$9:$MA$91,12,FALSE)/(VLOOKUP($LI$97,$LI$9:$MA$91,8,FALSE)+VLOOKUP($LI$97,$LI$9:$MA$91,11,FALSE)+VLOOKUP($LI$97,$LI$9:$MA$91,12,FALSE)+VLOOKUP($LI$97,$LI$9:$MA$91,13,FALSE))</f>
        <v>5.1911514419858765E-2</v>
      </c>
      <c r="LU97" s="804">
        <f>VLOOKUP($LI$97,$LI$9:$MA$91,13,FALSE)/(VLOOKUP($LI$97,$LI$9:$MA$91,8,FALSE)+VLOOKUP($LI$97,$LI$9:$MA$91,11,FALSE)+VLOOKUP($LI$97,$LI$9:$MA$91,12,FALSE)+VLOOKUP($LI$97,$LI$9:$MA$91,13,FALSE))</f>
        <v>6.7338788464636076E-2</v>
      </c>
      <c r="LV97" s="764"/>
      <c r="LW97" s="801">
        <f>VLOOKUP($LI$97,$LI$9:$MA$91,15,FALSE)/(VLOOKUP($LI$97,$LI$9:$MA$91,14,FALSE)+VLOOKUP($LI$97,$LI$9:$MA$91,17,FALSE)+VLOOKUP($LI$97,$LI$9:$MA$91,18,FALSE)+VLOOKUP($LI$97,$LI$9:$MA$91,19,FALSE))</f>
        <v>0.58771585559089801</v>
      </c>
      <c r="LX97" s="801">
        <f>VLOOKUP($LI$97,$LI$9:$MA$91,16,FALSE)/(VLOOKUP($LI$97,$LI$9:$MA$91,14,FALSE)+VLOOKUP($LI$97,$LI$9:$MA$91,17,FALSE)+VLOOKUP($LI$97,$LI$9:$MA$91,18,FALSE)+VLOOKUP($LI$97,$LI$9:$MA$91,19,FALSE))</f>
        <v>9.4308135056722892E-2</v>
      </c>
      <c r="LY97" s="801">
        <f>VLOOKUP($LI$97,$LI$9:$MA$91,17,FALSE)/(VLOOKUP($LI$97,$LI$9:$MA$91,14,FALSE)+VLOOKUP($LI$97,$LI$9:$MA$91,17,FALSE)+VLOOKUP($LI$97,$LI$9:$MA$91,18,FALSE)+VLOOKUP($LI$97,$LI$9:$MA$91,19,FALSE))</f>
        <v>0.21142789074288498</v>
      </c>
      <c r="LZ97" s="801">
        <f>VLOOKUP($LI$97,$LI$9:$MA$91,18,FALSE)/(VLOOKUP($LI$97,$LI$9:$MA$91,14,FALSE)+VLOOKUP($LI$97,$LI$9:$MA$91,17,FALSE)+VLOOKUP($LI$97,$LI$9:$MA$91,18,FALSE)+VLOOKUP($LI$97,$LI$9:$MA$91,19,FALSE))</f>
        <v>4.1289007692012498E-2</v>
      </c>
      <c r="MA97" s="680">
        <f>VLOOKUP($LI$97,$LI$9:$MA$91,19,FALSE)/(VLOOKUP($LI$97,$LI$9:$MA$91,14,FALSE)+VLOOKUP($LI$97,$LI$9:$MA$91,17,FALSE)+VLOOKUP($LI$97,$LI$9:$MA$91,18,FALSE)+VLOOKUP($LI$97,$LI$9:$MA$91,19,FALSE))</f>
        <v>6.5259110917483681E-2</v>
      </c>
      <c r="MC97" s="180" t="str">
        <f>INDEX('Aides traitements'!$A$5:$A$58,'Page de garde'!$C$4,1)</f>
        <v>Paul Bert</v>
      </c>
      <c r="MD97" s="764">
        <f>VLOOKUP($MC$97,$MC$66:$MU$91,2,FALSE)/(VLOOKUP($MC$97,$MC$66:$MU$91,2,FALSE)+VLOOKUP($MC$97,$MC$66:$MU$91,3,FALSE)+VLOOKUP($MC$97,$MC$66:$MU$91,4,FALSE)+VLOOKUP($MC$97,$MC$66:$MU$91,5,FALSE)+VLOOKUP($MC$97,$MC$66:$MU$91,6,FALSE)+VLOOKUP($MC$97,$MC$66:$MU$91,7,FALSE))</f>
        <v>0</v>
      </c>
      <c r="ME97" s="801">
        <f>VLOOKUP($MC$97,$MC$66:$MU$91,3,FALSE)/(VLOOKUP($MC$97,$MC$66:$MU$91,2,FALSE)+VLOOKUP($MC$97,$MC$66:$MU$91,3,FALSE)+VLOOKUP($MC$97,$MC$66:$MU$91,4,FALSE)+VLOOKUP($MC$97,$MC$66:$MU$91,5,FALSE)+VLOOKUP($MC$97,$MC$66:$MU$91,6,FALSE)+VLOOKUP($MC$97,$MC$66:$MU$91,7,FALSE))</f>
        <v>4.0922562300115775E-2</v>
      </c>
      <c r="MF97" s="801">
        <f>VLOOKUP($MC$97,$MC$66:$MU$91,4,FALSE)/(VLOOKUP($MC$97,$MC$66:$MU$91,2,FALSE)+VLOOKUP($MC$97,$MC$66:$MU$91,3,FALSE)+VLOOKUP($MC$97,$MC$66:$MU$91,4,FALSE)+VLOOKUP($MC$97,$MC$66:$MU$91,5,FALSE)+VLOOKUP($MC$97,$MC$66:$MU$91,6,FALSE)+VLOOKUP($MC$97,$MC$66:$MU$91,7,FALSE))</f>
        <v>0.27236225525341018</v>
      </c>
      <c r="MG97" s="801">
        <f>VLOOKUP($MC$97,$MC$66:$MU$91,5,FALSE)/(VLOOKUP($MC$97,$MC$66:$MU$91,2,FALSE)+VLOOKUP($MC$97,$MC$66:$MU$91,3,FALSE)+VLOOKUP($MC$97,$MC$66:$MU$91,4,FALSE)+VLOOKUP($MC$97,$MC$66:$MU$91,5,FALSE)+VLOOKUP($MC$97,$MC$66:$MU$91,6,FALSE)+VLOOKUP($MC$97,$MC$66:$MU$91,7,FALSE))</f>
        <v>0.3434178590634766</v>
      </c>
      <c r="MH97" s="801">
        <f>VLOOKUP($MC$97,$MC$66:$MU$91,6,FALSE)/(VLOOKUP($MC$97,$MC$66:$MU$91,2,FALSE)+VLOOKUP($MC$97,$MC$66:$MU$91,3,FALSE)+VLOOKUP($MC$97,$MC$66:$MU$91,4,FALSE)+VLOOKUP($MC$97,$MC$66:$MU$91,5,FALSE)+VLOOKUP($MC$97,$MC$66:$MU$91,6,FALSE)+VLOOKUP($MC$97,$MC$66:$MU$91,7,FALSE))</f>
        <v>0.16903320329910393</v>
      </c>
      <c r="MI97" s="801">
        <f>VLOOKUP($MC$97,$MC$66:$MU$91,7,FALSE)/(VLOOKUP($MC$97,$MC$66:$MU$91,2,FALSE)+VLOOKUP($MC$97,$MC$66:$MU$91,3,FALSE)+VLOOKUP($MC$97,$MC$66:$MU$91,4,FALSE)+VLOOKUP($MC$97,$MC$66:$MU$91,5,FALSE)+VLOOKUP($MC$97,$MC$66:$MU$91,6,FALSE)+VLOOKUP($MC$97,$MC$66:$MU$91,7,FALSE))</f>
        <v>0.17426412008389347</v>
      </c>
      <c r="MJ97" s="764">
        <f>VLOOKUP($MC$97,$MC$66:$MU$91,8,FALSE)/(VLOOKUP($MC$97,$MC$66:$MU$91,8,FALSE)+VLOOKUP($MC$97,$MC$66:$MU$91,9,FALSE)+VLOOKUP($MC$97,$MC$66:$MU$91,10,FALSE)+VLOOKUP($MC$97,$MC$66:$MU$91,11,FALSE)+VLOOKUP($MC$97,$MC$66:$MU$91,12,FALSE)+VLOOKUP($MC$97,$MC$66:$MU$91,13,FALSE))</f>
        <v>0</v>
      </c>
      <c r="MK97" s="801">
        <f>VLOOKUP($MC$97,$MC$66:$MU$91,9,FALSE)/(VLOOKUP($MC$97,$MC$66:$MU$91,8,FALSE)+VLOOKUP($MC$97,$MC$66:$MU$91,9,FALSE)+VLOOKUP($MC$97,$MC$66:$MU$91,10,FALSE)+VLOOKUP($MC$97,$MC$66:$MU$91,11,FALSE)+VLOOKUP($MC$97,$MC$66:$MU$91,12,FALSE)+VLOOKUP($MC$97,$MC$66:$MU$91,13,FALSE))</f>
        <v>5.7559985549762702E-2</v>
      </c>
      <c r="ML97" s="801">
        <f>VLOOKUP($MC$97,$MC$66:$MU$91,10,FALSE)/(VLOOKUP($MC$97,$MC$66:$MU$91,8,FALSE)+VLOOKUP($MC$97,$MC$66:$MU$91,9,FALSE)+VLOOKUP($MC$97,$MC$66:$MU$91,10,FALSE)+VLOOKUP($MC$97,$MC$66:$MU$91,11,FALSE)+VLOOKUP($MC$97,$MC$66:$MU$91,12,FALSE)+VLOOKUP($MC$97,$MC$66:$MU$91,13,FALSE))</f>
        <v>0.30541130965765478</v>
      </c>
      <c r="MM97" s="801">
        <f>VLOOKUP($MC$97,$MC$66:$MU$91,11,FALSE)/(VLOOKUP($MC$97,$MC$66:$MU$91,8,FALSE)+VLOOKUP($MC$97,$MC$66:$MU$91,9,FALSE)+VLOOKUP($MC$97,$MC$66:$MU$91,10,FALSE)+VLOOKUP($MC$97,$MC$66:$MU$91,11,FALSE)+VLOOKUP($MC$97,$MC$66:$MU$91,12,FALSE)+VLOOKUP($MC$97,$MC$66:$MU$91,13,FALSE))</f>
        <v>0.31038789655328386</v>
      </c>
      <c r="MN97" s="801">
        <f>VLOOKUP($MC$97,$MC$66:$MU$91,12,FALSE)/(VLOOKUP($MC$97,$MC$66:$MU$91,8,FALSE)+VLOOKUP($MC$97,$MC$66:$MU$91,9,FALSE)+VLOOKUP($MC$97,$MC$66:$MU$91,10,FALSE)+VLOOKUP($MC$97,$MC$66:$MU$91,11,FALSE)+VLOOKUP($MC$97,$MC$66:$MU$91,12,FALSE)+VLOOKUP($MC$97,$MC$66:$MU$91,13,FALSE))</f>
        <v>0.22358250621513193</v>
      </c>
      <c r="MO97" s="804">
        <f>VLOOKUP($MC$97,$MC$66:$MU$91,13,FALSE)/(VLOOKUP($MC$97,$MC$66:$MU$91,8,FALSE)+VLOOKUP($MC$97,$MC$66:$MU$91,9,FALSE)+VLOOKUP($MC$97,$MC$66:$MU$91,10,FALSE)+VLOOKUP($MC$97,$MC$66:$MU$91,11,FALSE)+VLOOKUP($MC$97,$MC$66:$MU$91,12,FALSE)+VLOOKUP($MC$97,$MC$66:$MU$91,13,FALSE))</f>
        <v>0.10305830202416669</v>
      </c>
      <c r="MP97" s="801">
        <f>VLOOKUP($MC$97,$MC$66:$MU$91,14,FALSE)/(VLOOKUP($MC$97,$MC$66:$MU$91,14,FALSE)+VLOOKUP($MC$97,$MC$66:$MU$91,15,FALSE)+VLOOKUP($MC$97,$MC$66:$MU$91,16,FALSE)+VLOOKUP($MC$97,$MC$66:$MU$91,17,FALSE)+VLOOKUP($MC$97,$MC$66:$MU$91,18,FALSE)+VLOOKUP($MC$97,$MC$66:$MU$91,19,FALSE))</f>
        <v>0</v>
      </c>
      <c r="MQ97" s="801">
        <f>VLOOKUP($MC$97,$MC$66:$MU$91,15,FALSE)/(VLOOKUP($MC$97,$MC$66:$MU$91,14,FALSE)+VLOOKUP($MC$97,$MC$66:$MU$91,15,FALSE)+VLOOKUP($MC$97,$MC$66:$MU$91,16,FALSE)+VLOOKUP($MC$97,$MC$66:$MU$91,17,FALSE)+VLOOKUP($MC$97,$MC$66:$MU$91,18,FALSE)+VLOOKUP($MC$97,$MC$66:$MU$91,19,FALSE))</f>
        <v>6.5714638137848155E-2</v>
      </c>
      <c r="MR97" s="801">
        <f>VLOOKUP($MC$97,$MC$66:$MU$91,16,FALSE)/(VLOOKUP($MC$97,$MC$66:$MU$91,14,FALSE)+VLOOKUP($MC$97,$MC$66:$MU$91,15,FALSE)+VLOOKUP($MC$97,$MC$66:$MU$91,16,FALSE)+VLOOKUP($MC$97,$MC$66:$MU$91,17,FALSE)+VLOOKUP($MC$97,$MC$66:$MU$91,18,FALSE)+VLOOKUP($MC$97,$MC$66:$MU$91,19,FALSE))</f>
        <v>0.28913319864294651</v>
      </c>
      <c r="MS97" s="801">
        <f>VLOOKUP($MC$97,$MC$66:$MU$91,17,FALSE)/(VLOOKUP($MC$97,$MC$66:$MU$91,14,FALSE)+VLOOKUP($MC$97,$MC$66:$MU$91,15,FALSE)+VLOOKUP($MC$97,$MC$66:$MU$91,16,FALSE)+VLOOKUP($MC$97,$MC$66:$MU$91,17,FALSE)+VLOOKUP($MC$97,$MC$66:$MU$91,18,FALSE)+VLOOKUP($MC$97,$MC$66:$MU$91,19,FALSE))</f>
        <v>0.31207142571352492</v>
      </c>
      <c r="MT97" s="801">
        <f>VLOOKUP($MC$97,$MC$66:$MU$91,18,FALSE)/(VLOOKUP($MC$97,$MC$66:$MU$91,14,FALSE)+VLOOKUP($MC$97,$MC$66:$MU$91,15,FALSE)+VLOOKUP($MC$97,$MC$66:$MU$91,16,FALSE)+VLOOKUP($MC$97,$MC$66:$MU$91,17,FALSE)+VLOOKUP($MC$97,$MC$66:$MU$91,18,FALSE)+VLOOKUP($MC$97,$MC$66:$MU$91,19,FALSE))</f>
        <v>0.21278889885288427</v>
      </c>
      <c r="MU97" s="804">
        <f>VLOOKUP($MC$97,$MC$66:$MU$91,19,FALSE)/(VLOOKUP($MC$97,$MC$66:$MU$91,14,FALSE)+VLOOKUP($MC$97,$MC$66:$MU$91,15,FALSE)+VLOOKUP($MC$97,$MC$66:$MU$91,16,FALSE)+VLOOKUP($MC$97,$MC$66:$MU$91,17,FALSE)+VLOOKUP($MC$97,$MC$66:$MU$91,18,FALSE)+VLOOKUP($MC$97,$MC$66:$MU$91,19,FALSE))</f>
        <v>0.12029183865279625</v>
      </c>
      <c r="MV97" s="136"/>
      <c r="MW97" s="180" t="str">
        <f>INDEX('Aides traitements'!$A$5:$A$58,'Page de garde'!$C$4,1)</f>
        <v>Paul Bert</v>
      </c>
      <c r="MX97" s="801">
        <f>VLOOKUP($MW$97,$MW$66:$NF$91,3,FALSE)/(VLOOKUP($MW$97,$MW$66:$NF$91,3,FALSE)+VLOOKUP($MW$97,$MW$66:$NF$91,4,FALSE))</f>
        <v>0.89004024793168401</v>
      </c>
      <c r="MY97" s="804">
        <f>VLOOKUP($MW$97,$MW$66:$NF$91,4,FALSE)/(VLOOKUP($MW$97,$MW$66:$NF$91,3,FALSE)+VLOOKUP($MW$97,$MW$66:$NF$91,4,FALSE))</f>
        <v>0.10995975206831603</v>
      </c>
      <c r="MZ97" s="801">
        <f>VLOOKUP($MW$97,$MW$66:$NF$91,6,FALSE)/(VLOOKUP($MW$97,$MW$66:$NF$91,6,FALSE)+VLOOKUP($MW$97,$MW$66:$NF$91,7,FALSE))</f>
        <v>0.84865017476744742</v>
      </c>
      <c r="NA97" s="804">
        <f>VLOOKUP($MW$97,$MW$66:$NF$91,7,FALSE)/(VLOOKUP($MW$97,$MW$66:$NF$91,6,FALSE)+VLOOKUP($MW$97,$MW$66:$NF$91,7,FALSE))</f>
        <v>0.1513498252325525</v>
      </c>
      <c r="NB97" s="801">
        <f>VLOOKUP($MW$97,$MW$66:$NF$91,9,FALSE)/(VLOOKUP($MW$97,$MW$66:$NF$91,9,FALSE)+VLOOKUP($MW$97,$MW$66:$NF$91,10,FALSE))</f>
        <v>0.85303119427657426</v>
      </c>
      <c r="NC97" s="804">
        <f>VLOOKUP($MW$97,$MW$66:$NF$91,10,FALSE)/(VLOOKUP($MW$97,$MW$66:$NF$91,9,FALSE)+VLOOKUP($MW$97,$MW$66:$NF$91,10,FALSE))</f>
        <v>0.14696880572342572</v>
      </c>
      <c r="ND97" s="136"/>
      <c r="NF97" s="136"/>
      <c r="NG97" s="136"/>
      <c r="NH97" s="136"/>
      <c r="NI97" s="136"/>
      <c r="NJ97" s="136"/>
      <c r="NK97" s="136"/>
      <c r="NL97" s="136"/>
      <c r="NM97" s="136"/>
      <c r="NN97" s="136"/>
      <c r="NO97" s="136"/>
      <c r="NP97" s="136"/>
      <c r="NQ97" s="136"/>
      <c r="NR97" s="136"/>
      <c r="NS97" s="136"/>
      <c r="NT97" s="136"/>
      <c r="NU97" s="136"/>
      <c r="NV97" s="136"/>
      <c r="NW97" s="136"/>
      <c r="NX97" s="136"/>
      <c r="NY97" s="136"/>
      <c r="NZ97" s="136"/>
      <c r="OA97" s="136"/>
      <c r="OB97" s="607"/>
      <c r="OC97" s="132"/>
      <c r="OJ97" s="136"/>
      <c r="OK97" s="136"/>
      <c r="OL97" s="136"/>
      <c r="OM97" s="136"/>
      <c r="ON97" s="136"/>
      <c r="OO97" s="136"/>
      <c r="OP97" s="136"/>
      <c r="OQ97" s="136"/>
      <c r="OT97" s="180" t="str">
        <f>INDEX('Aides traitements'!$A$5:$A$58,'Page de garde'!$C$4,1)</f>
        <v>Paul Bert</v>
      </c>
      <c r="OU97" s="764">
        <f>VLOOKUP($OT$97,$OT$66:$PF$91,2,FALSE)/(VLOOKUP($OT$97,$OT$66:$PF$91,2,FALSE)+VLOOKUP($OT$97,$OT$66:$PF$91,3,FALSE)+VLOOKUP($OT$97,$OT$66:$PF$91,4,FALSE)+VLOOKUP($OT$97,$OT$66:$PF$91,5,FALSE))</f>
        <v>0.2819537449507511</v>
      </c>
      <c r="OV97" s="801">
        <f>VLOOKUP($OT$97,$OT$66:$PF$91,3,FALSE)/(VLOOKUP($OT$97,$OT$66:$PF$91,2,FALSE)+VLOOKUP($OT$97,$OT$66:$PF$91,3,FALSE)+VLOOKUP($OT$97,$OT$66:$PF$91,4,FALSE)+VLOOKUP($OT$97,$OT$66:$PF$91,5,FALSE))</f>
        <v>0.14137354094621207</v>
      </c>
      <c r="OW97" s="801">
        <f>VLOOKUP($OT$97,$OT$66:$PF$91,4,FALSE)/(VLOOKUP($OT$97,$OT$66:$PF$91,2,FALSE)+VLOOKUP($OT$97,$OT$66:$PF$91,3,FALSE)+VLOOKUP($OT$97,$OT$66:$PF$91,4,FALSE)+VLOOKUP($OT$97,$OT$66:$PF$91,5,FALSE))</f>
        <v>0.1546085764866072</v>
      </c>
      <c r="OX97" s="804">
        <f>VLOOKUP($OT$97,$OT$66:$PF$91,5,FALSE)/(VLOOKUP($OT$97,$OT$66:$PF$91,2,FALSE)+VLOOKUP($OT$97,$OT$66:$PF$91,3,FALSE)+VLOOKUP($OT$97,$OT$66:$PF$91,4,FALSE)+VLOOKUP($OT$97,$OT$66:$PF$91,5,FALSE))</f>
        <v>0.42206413761642964</v>
      </c>
      <c r="OY97" s="764">
        <f>VLOOKUP($OT$97,$OT$66:$PF$91,6,FALSE)/(VLOOKUP($OT$97,$OT$66:$PF$91,6,FALSE)+VLOOKUP($OT$97,$OT$66:$PF$91,7,FALSE)+VLOOKUP($OT$97,$OT$66:$PF$91,8,FALSE)+VLOOKUP($OT$97,$OT$66:$PF$91,9,FALSE))</f>
        <v>0.25023285038161813</v>
      </c>
      <c r="OZ97" s="801">
        <f>VLOOKUP($OT$97,$OT$66:$PF$91,7,FALSE)/(VLOOKUP($OT$97,$OT$66:$PF$91,6,FALSE)+VLOOKUP($OT$97,$OT$66:$PF$91,7,FALSE)+VLOOKUP($OT$97,$OT$66:$PF$91,8,FALSE)+VLOOKUP($OT$97,$OT$66:$PF$91,9,FALSE))</f>
        <v>0.14981285529478336</v>
      </c>
      <c r="PA97" s="801">
        <f>VLOOKUP($OT$97,$OT$66:$PF$91,8,FALSE)/(VLOOKUP($OT$97,$OT$66:$PF$91,6,FALSE)+VLOOKUP($OT$97,$OT$66:$PF$91,7,FALSE)+VLOOKUP($OT$97,$OT$66:$PF$91,8,FALSE)+VLOOKUP($OT$97,$OT$66:$PF$91,9,FALSE))</f>
        <v>0.15534485445957069</v>
      </c>
      <c r="PB97" s="804">
        <f>VLOOKUP($OT$97,$OT$66:$PF$91,9,FALSE)/(VLOOKUP($OT$97,$OT$66:$PF$91,6,FALSE)+VLOOKUP($OT$97,$OT$66:$PF$91,7,FALSE)+VLOOKUP($OT$97,$OT$66:$PF$91,8,FALSE)+VLOOKUP($OT$97,$OT$66:$PF$91,9,FALSE))</f>
        <v>0.44460943986402784</v>
      </c>
      <c r="PC97" s="181">
        <f>VLOOKUP($OT$97,$OT$66:$PF$91,10,FALSE)/(VLOOKUP($OT$97,$OT$66:$PF$91,10,FALSE)+VLOOKUP($OT$97,$OT$66:$PF$91,11,FALSE)+VLOOKUP($OT$97,$OT$66:$PF$91,12,FALSE)+VLOOKUP($OT$97,$OT$66:$PF$91,13,FALSE))</f>
        <v>0.17741717152686126</v>
      </c>
      <c r="PD97" s="801">
        <f>VLOOKUP($OT$97,$OT$66:$PF$91,11,FALSE)/(VLOOKUP($OT$97,$OT$66:$PF$91,10,FALSE)+VLOOKUP($OT$97,$OT$66:$PF$91,11,FALSE)+VLOOKUP($OT$97,$OT$66:$PF$91,12,FALSE)+VLOOKUP($OT$97,$OT$66:$PF$91,13,FALSE))</f>
        <v>0.14801042834363762</v>
      </c>
      <c r="PE97" s="801">
        <f>VLOOKUP($OT$97,$OT$66:$PF$91,12,FALSE)/(VLOOKUP($OT$97,$OT$66:$PF$91,10,FALSE)+VLOOKUP($OT$97,$OT$66:$PF$91,11,FALSE)+VLOOKUP($OT$97,$OT$66:$PF$91,12,FALSE)+VLOOKUP($OT$97,$OT$66:$PF$91,13,FALSE))</f>
        <v>0.16062907052047251</v>
      </c>
      <c r="PF97" s="804">
        <f>VLOOKUP($OT$97,$OT$66:$PF$91,13,FALSE)/(VLOOKUP($OT$97,$OT$66:$PF$91,10,FALSE)+VLOOKUP($OT$97,$OT$66:$PF$91,11,FALSE)+VLOOKUP($OT$97,$OT$66:$PF$91,12,FALSE)+VLOOKUP($OT$97,$OT$66:$PF$91,13,FALSE))</f>
        <v>0.51394332960902844</v>
      </c>
      <c r="PG97" s="136"/>
      <c r="PH97" s="180" t="str">
        <f>INDEX('Aides traitements'!$A$5:$A$58,'Page de garde'!$C$4,1)</f>
        <v>Paul Bert</v>
      </c>
      <c r="PI97" s="764">
        <f>VLOOKUP($PH$97,$PH$66:$PP$91,2,FALSE)/(VLOOKUP($PH$97,$PH$66:$PP$91,2,FALSE)+VLOOKUP($PH$97,$PH$66:$PP$91,3,FALSE)+VLOOKUP($PH$97,$PH$66:$PP$91,4,FALSE)+VLOOKUP($PH$97,$PH$66:$PP$91,5,FALSE))</f>
        <v>0.14125390503853891</v>
      </c>
      <c r="PJ97" s="801">
        <f>VLOOKUP($PH$97,$PH$66:$PP$91,3,FALSE)/(VLOOKUP($PH$97,$PH$66:$PP$91,2,FALSE)+VLOOKUP($PH$97,$PH$66:$PP$91,3,FALSE)+VLOOKUP($PH$97,$PH$66:$PP$91,4,FALSE)+VLOOKUP($PH$97,$PH$66:$PP$91,5,FALSE))</f>
        <v>0.16082122691766557</v>
      </c>
      <c r="PK97" s="801">
        <f>VLOOKUP($PH$97,$PH$66:$PP$91,4,FALSE)/(VLOOKUP($PH$97,$PH$66:$PP$91,2,FALSE)+VLOOKUP($PH$97,$PH$66:$PP$91,3,FALSE)+VLOOKUP($PH$97,$PH$66:$PP$91,4,FALSE)+VLOOKUP($PH$97,$PH$66:$PP$91,5,FALSE))</f>
        <v>0.18202585811514135</v>
      </c>
      <c r="PL97" s="804">
        <f>VLOOKUP($PH$97,$PH$66:$PP$91,5,FALSE)/(VLOOKUP($PH$97,$PH$66:$PP$91,2,FALSE)+VLOOKUP($PH$97,$PH$66:$PP$91,3,FALSE)+VLOOKUP($PH$97,$PH$66:$PP$91,4,FALSE)+VLOOKUP($PH$97,$PH$66:$PP$91,5,FALSE))</f>
        <v>0.51589900992865412</v>
      </c>
      <c r="PM97" s="764">
        <f>VLOOKUP($PH$97,$PH$66:$PP$91,6,FALSE)/(VLOOKUP($PH$97,$PH$66:$PP$91,6,FALSE)+VLOOKUP($PH$97,$PH$66:$PP$91,7,FALSE)+VLOOKUP($PH$97,$PH$66:$PP$91,8,FALSE)+VLOOKUP($PH$97,$PH$66:$PP$91,9,FALSE))</f>
        <v>0.21281189442771997</v>
      </c>
      <c r="PN97" s="801">
        <f>VLOOKUP($PH$97,$PH$66:$PP$91,7,FALSE)/(VLOOKUP($PH$97,$PH$66:$PP$91,6,FALSE)+VLOOKUP($PH$97,$PH$66:$PP$91,7,FALSE)+VLOOKUP($PH$97,$PH$66:$PP$91,8,FALSE)+VLOOKUP($PH$97,$PH$66:$PP$91,9,FALSE))</f>
        <v>0.13547188551557651</v>
      </c>
      <c r="PO97" s="801">
        <f>VLOOKUP($PH$97,$PH$66:$PP$91,8,FALSE)/(VLOOKUP($PH$97,$PH$66:$PP$91,6,FALSE)+VLOOKUP($PH$97,$PH$66:$PP$91,7,FALSE)+VLOOKUP($PH$97,$PH$66:$PP$91,8,FALSE)+VLOOKUP($PH$97,$PH$66:$PP$91,9,FALSE))</f>
        <v>0.13968700854920654</v>
      </c>
      <c r="PP97" s="804">
        <f>VLOOKUP($PH$97,$PH$66:$PP$91,9,FALSE)/(VLOOKUP($PH$97,$PH$66:$PP$91,6,FALSE)+VLOOKUP($PH$97,$PH$66:$PP$91,7,FALSE)+VLOOKUP($PH$97,$PH$66:$PP$91,8,FALSE)+VLOOKUP($PH$97,$PH$66:$PP$91,9,FALSE))</f>
        <v>0.51202921150749681</v>
      </c>
      <c r="PQ97" s="65"/>
      <c r="PR97" s="601" t="str">
        <f>INDEX('Aides traitements'!$A$5:$A$58,'Page de garde'!$C$4,1)</f>
        <v>Paul Bert</v>
      </c>
      <c r="PS97" s="1059">
        <f>VLOOKUP($PR$97,$PR$9:$PX$91,2,FALSE)/(VLOOKUP($PR$97,$PR$9:$PX$91,2,FALSE)+VLOOKUP($PR$97,$PR$9:$PX$91,3,FALSE)+VLOOKUP($PR$97,$PR$9:$PX$91,4,FALSE)+VLOOKUP($PR$97,$PR$9:$PX$91,5,FALSE)+VLOOKUP($PR$97,$PR$9:$PX$91,6,FALSE)++VLOOKUP($PR$97,$PR$9:$PX$91,7,FALSE))</f>
        <v>4.2507668433688556E-2</v>
      </c>
      <c r="PT97" s="1060">
        <f>VLOOKUP($PR$97,$PR$9:$PX$91,3,FALSE)/(VLOOKUP($PR$97,$PR$9:$PX$91,2,FALSE)+VLOOKUP($PR$97,$PR$9:$PX$91,3,FALSE)+VLOOKUP($PR$97,$PR$9:$PX$91,4,FALSE)+VLOOKUP($PR$97,$PR$9:$PX$91,5,FALSE)+VLOOKUP($PR$97,$PR$9:$PX$91,6,FALSE)++VLOOKUP($PR$97,$PR$9:$PX$91,7,FALSE))</f>
        <v>7.2937563284646997E-2</v>
      </c>
      <c r="PU97" s="1060">
        <f>VLOOKUP($PR$97,$PR$9:$PX$91,4,FALSE)/(VLOOKUP($PR$97,$PR$9:$PX$91,2,FALSE)+VLOOKUP($PR$97,$PR$9:$PX$91,3,FALSE)+VLOOKUP($PR$97,$PR$9:$PX$91,4,FALSE)+VLOOKUP($PR$97,$PR$9:$PX$91,5,FALSE)+VLOOKUP($PR$97,$PR$9:$PX$91,6,FALSE)++VLOOKUP($PR$97,$PR$9:$PX$91,7,FALSE))</f>
        <v>0.11048498566164333</v>
      </c>
      <c r="PV97" s="1060">
        <f>VLOOKUP($PR$97,$PR$9:$PX$91,5,FALSE)/(VLOOKUP($PR$97,$PR$9:$PX$91,2,FALSE)+VLOOKUP($PR$97,$PR$9:$PX$91,3,FALSE)+VLOOKUP($PR$97,$PR$9:$PX$91,4,FALSE)+VLOOKUP($PR$97,$PR$9:$PX$91,5,FALSE)+VLOOKUP($PR$97,$PR$9:$PX$91,6,FALSE)++VLOOKUP($PR$97,$PR$9:$PX$91,7,FALSE))</f>
        <v>1.7327006551634088E-2</v>
      </c>
      <c r="PW97" s="1060">
        <f>VLOOKUP($PR$97,$PR$9:$PX$91,6,FALSE)/(VLOOKUP($PR$97,$PR$9:$PX$91,2,FALSE)+VLOOKUP($PR$97,$PR$9:$PX$91,3,FALSE)+VLOOKUP($PR$97,$PR$9:$PX$91,4,FALSE)+VLOOKUP($PR$97,$PR$9:$PX$91,5,FALSE)+VLOOKUP($PR$97,$PR$9:$PX$91,6,FALSE)++VLOOKUP($PR$97,$PR$9:$PX$91,7,FALSE))</f>
        <v>0.56782722936084584</v>
      </c>
      <c r="PX97" s="1061">
        <f>VLOOKUP($PR$97,$PR$9:$PX$91,7,FALSE)/(VLOOKUP($PR$97,$PR$9:$PX$91,2,FALSE)+VLOOKUP($PR$97,$PR$9:$PX$91,3,FALSE)+VLOOKUP($PR$97,$PR$9:$PX$91,4,FALSE)+VLOOKUP($PR$97,$PR$9:$PX$91,5,FALSE)+VLOOKUP($PR$97,$PR$9:$PX$91,6,FALSE)++VLOOKUP($PR$97,$PR$9:$PX$91,7,FALSE))</f>
        <v>0.18891554670754121</v>
      </c>
      <c r="PZ97" s="601" t="str">
        <f>INDEX('Aides traitements'!$A$5:$A$58,'Page de garde'!$C$4,1)</f>
        <v>Paul Bert</v>
      </c>
      <c r="QA97" s="1059">
        <f>VLOOKUP($PZ$97,$PZ$9:$QF$91,2,FALSE)/(VLOOKUP($PZ$97,$PZ$9:$QF$91,2,FALSE)+VLOOKUP($PZ$97,$PZ$9:$QF$91,3,FALSE))</f>
        <v>0.57575557938513089</v>
      </c>
      <c r="QB97" s="1060">
        <f>VLOOKUP($PZ$97,$PZ$9:$QF$91,3,FALSE)/(VLOOKUP($PZ$97,$PZ$9:$QF$91,2,FALSE)+VLOOKUP($PZ$97,$PZ$9:$QF$91,3,FALSE))</f>
        <v>0.424244420614869</v>
      </c>
      <c r="QC97" s="1060">
        <f>VLOOKUP($PZ$97,$PZ$9:$QF$91,4,FALSE)/(VLOOKUP($PZ$97,$PZ$9:$QF$91,3,FALSE))</f>
        <v>0.71980175683068359</v>
      </c>
      <c r="QD97" s="1060">
        <f>VLOOKUP($PZ$97,$PZ$9:$QF$91,5,FALSE)/(VLOOKUP($PZ$97,$PZ$9:$QF$91,3,FALSE))</f>
        <v>0.1211764464573566</v>
      </c>
      <c r="QE97" s="1060">
        <f>VLOOKUP($PZ$97,$PZ$9:$QF$91,6,FALSE)/(VLOOKUP($PZ$97,$PZ$9:$QF$91,3,FALSE))</f>
        <v>0.14736547653637849</v>
      </c>
      <c r="QF97" s="1061">
        <f>VLOOKUP($PZ$97,$PZ$9:$QF$91,7,FALSE)/(VLOOKUP($PZ$97,$PZ$9:$QF$91,3,FALSE))</f>
        <v>1.1656320175581162E-2</v>
      </c>
    </row>
    <row r="98" spans="1:448" ht="21.6" customHeight="1">
      <c r="X98" s="63"/>
      <c r="Y98" s="97"/>
      <c r="Z98" s="97"/>
      <c r="AA98" s="97"/>
      <c r="AB98" s="97"/>
      <c r="AJ98" s="63"/>
      <c r="AN98" s="851" t="s">
        <v>415</v>
      </c>
      <c r="AV98" s="55"/>
      <c r="BN98" s="655" t="s">
        <v>415</v>
      </c>
      <c r="CK98" s="55"/>
      <c r="CN98" s="55"/>
      <c r="CO98" s="55"/>
      <c r="CP98" s="55"/>
      <c r="CQ98" s="55"/>
      <c r="CS98" s="426"/>
      <c r="CT98" s="426"/>
      <c r="CU98" s="426"/>
      <c r="CV98" s="426"/>
      <c r="CW98" s="426"/>
      <c r="DG98" s="55"/>
      <c r="DH98" s="55"/>
      <c r="DI98" s="55"/>
      <c r="DJ98" s="55"/>
      <c r="DO98" s="55"/>
      <c r="DP98" s="55"/>
      <c r="DQ98" s="55"/>
      <c r="DR98" s="55"/>
      <c r="DS98" s="55"/>
      <c r="DU98" s="55"/>
      <c r="DV98" s="55"/>
      <c r="DW98" s="55"/>
      <c r="DX98" s="55"/>
      <c r="DZ98" s="55"/>
      <c r="EA98" s="55"/>
      <c r="EB98" s="55"/>
      <c r="EC98" s="55"/>
      <c r="EE98" s="655" t="s">
        <v>415</v>
      </c>
      <c r="EF98" s="63"/>
      <c r="EG98" s="63"/>
      <c r="EH98" s="63"/>
      <c r="EJ98" s="55"/>
      <c r="EK98" s="55"/>
      <c r="EL98" s="63"/>
      <c r="EM98" s="63"/>
      <c r="EO98" s="55"/>
      <c r="EV98" s="655" t="s">
        <v>415</v>
      </c>
      <c r="FB98" s="305"/>
      <c r="FC98" s="305"/>
      <c r="FD98" s="305"/>
      <c r="FE98" s="305"/>
      <c r="FJ98" s="305"/>
      <c r="FK98" s="305"/>
      <c r="FL98" s="305"/>
      <c r="FM98" s="305"/>
      <c r="FV98" s="655" t="s">
        <v>415</v>
      </c>
      <c r="FX98" s="55"/>
      <c r="FY98" s="55"/>
      <c r="FZ98" s="55"/>
      <c r="GA98" s="55"/>
      <c r="GK98" s="55"/>
      <c r="GL98" s="55"/>
      <c r="GM98" s="55"/>
      <c r="GN98" s="55"/>
      <c r="GO98" s="655" t="s">
        <v>415</v>
      </c>
      <c r="GZ98" s="655" t="s">
        <v>415</v>
      </c>
      <c r="HA98" s="55"/>
      <c r="HB98" s="55"/>
      <c r="HC98" s="55"/>
      <c r="HL98" s="55"/>
      <c r="HM98" s="55"/>
      <c r="HN98" s="55"/>
      <c r="HO98" s="55"/>
      <c r="HP98" s="55"/>
      <c r="HQ98" s="55"/>
      <c r="HR98" s="55"/>
      <c r="HS98" s="55"/>
      <c r="HT98" s="55"/>
      <c r="HU98" s="55"/>
      <c r="HW98" s="55"/>
      <c r="HX98" s="55"/>
      <c r="HY98" s="55"/>
      <c r="HZ98" s="55"/>
      <c r="IA98" s="55"/>
      <c r="IB98" s="55"/>
      <c r="IP98" s="655" t="s">
        <v>415</v>
      </c>
      <c r="JJ98" s="655" t="s">
        <v>415</v>
      </c>
      <c r="JX98" s="655" t="s">
        <v>415</v>
      </c>
      <c r="KD98" s="655" t="s">
        <v>415</v>
      </c>
      <c r="KW98" s="139"/>
      <c r="KX98" s="655" t="s">
        <v>415</v>
      </c>
      <c r="KY98" s="807"/>
      <c r="KZ98" s="807"/>
      <c r="LA98" s="807"/>
      <c r="LB98" s="807"/>
      <c r="LC98" s="807"/>
      <c r="LD98" s="55"/>
      <c r="LE98" s="55"/>
      <c r="LI98" s="655" t="s">
        <v>415</v>
      </c>
      <c r="LJ98" s="533"/>
      <c r="LK98" s="534"/>
      <c r="LL98" s="179"/>
      <c r="LM98" s="179"/>
      <c r="LQ98" s="139"/>
      <c r="LR98" s="55"/>
      <c r="LS98" s="55"/>
      <c r="LT98" s="55"/>
      <c r="LU98" s="55"/>
      <c r="LV98" s="55"/>
      <c r="LW98" s="55"/>
      <c r="MC98" s="655" t="s">
        <v>415</v>
      </c>
      <c r="MJ98" s="55"/>
      <c r="MK98" s="55"/>
      <c r="ML98" s="55"/>
      <c r="MM98" s="55"/>
      <c r="MN98" s="55"/>
      <c r="MV98" s="55"/>
      <c r="MW98" s="655" t="s">
        <v>415</v>
      </c>
      <c r="MX98" s="55"/>
      <c r="MY98" s="55"/>
      <c r="MZ98" s="55"/>
      <c r="NA98" s="55"/>
      <c r="OT98" s="655" t="s">
        <v>415</v>
      </c>
      <c r="OX98" s="429"/>
      <c r="PH98" s="655" t="s">
        <v>415</v>
      </c>
      <c r="PL98" s="429"/>
      <c r="PR98" s="655" t="s">
        <v>415</v>
      </c>
      <c r="PW98" s="426"/>
      <c r="PX98" s="426"/>
      <c r="PY98" s="426"/>
      <c r="PZ98" s="655" t="s">
        <v>415</v>
      </c>
      <c r="QD98" s="426"/>
      <c r="QF98" s="426"/>
    </row>
    <row r="99" spans="1:448" ht="51" customHeight="1">
      <c r="A99" s="139"/>
      <c r="B99" s="55"/>
      <c r="C99" s="55"/>
      <c r="D99" s="55"/>
      <c r="E99" s="55"/>
      <c r="F99" s="139"/>
      <c r="G99" s="139"/>
      <c r="H99" s="139"/>
      <c r="I99" s="139"/>
      <c r="J99" s="139"/>
      <c r="K99" s="139"/>
      <c r="W99" s="139"/>
      <c r="X99" s="63"/>
      <c r="Y99" s="97"/>
      <c r="Z99" s="97"/>
      <c r="AA99" s="97"/>
      <c r="AB99" s="97"/>
      <c r="AC99" s="139"/>
      <c r="AD99" s="139"/>
      <c r="AE99" s="139"/>
      <c r="AF99" s="139"/>
      <c r="AG99" s="139"/>
      <c r="AJ99" s="63"/>
      <c r="AN99" s="851"/>
      <c r="AO99" s="861" t="s">
        <v>289</v>
      </c>
      <c r="AP99" s="761" t="s">
        <v>290</v>
      </c>
      <c r="AQ99" s="761" t="s">
        <v>291</v>
      </c>
      <c r="AR99" s="761" t="s">
        <v>292</v>
      </c>
      <c r="AS99" s="761" t="s">
        <v>77</v>
      </c>
      <c r="AT99" s="761" t="s">
        <v>78</v>
      </c>
      <c r="AU99" s="761" t="s">
        <v>204</v>
      </c>
      <c r="AV99" s="860" t="s">
        <v>293</v>
      </c>
      <c r="BM99" s="139"/>
      <c r="BO99" s="861" t="s">
        <v>332</v>
      </c>
      <c r="BP99" s="862" t="s">
        <v>333</v>
      </c>
      <c r="BQ99" s="862" t="s">
        <v>334</v>
      </c>
      <c r="BR99" s="862" t="s">
        <v>335</v>
      </c>
      <c r="BS99" s="862" t="s">
        <v>337</v>
      </c>
      <c r="BT99" s="870" t="s">
        <v>336</v>
      </c>
      <c r="BU99" s="139"/>
      <c r="BV99" s="139"/>
      <c r="BW99" s="139"/>
      <c r="BX99" s="139"/>
      <c r="BY99" s="139"/>
      <c r="BZ99" s="139"/>
      <c r="CA99" s="139"/>
      <c r="CB99" s="139"/>
      <c r="CC99" s="139"/>
      <c r="CD99" s="139"/>
      <c r="CE99" s="139"/>
      <c r="CF99" s="139"/>
      <c r="CG99" s="139"/>
      <c r="CH99" s="139"/>
      <c r="CI99" s="139"/>
      <c r="CJ99" s="139"/>
      <c r="CK99" s="55"/>
      <c r="CL99" s="139"/>
      <c r="CM99" s="139"/>
      <c r="CN99" s="55"/>
      <c r="CO99" s="55"/>
      <c r="CP99" s="55"/>
      <c r="CQ99" s="55"/>
      <c r="CR99" s="139"/>
      <c r="CS99" s="426"/>
      <c r="CT99" s="426"/>
      <c r="CU99" s="426"/>
      <c r="CV99" s="426"/>
      <c r="CW99" s="426"/>
      <c r="DF99" s="384"/>
      <c r="DG99" s="55"/>
      <c r="DH99" s="55"/>
      <c r="DI99" s="55"/>
      <c r="DJ99" s="55"/>
      <c r="DK99" s="164"/>
      <c r="DL99" s="164"/>
      <c r="DM99" s="164"/>
      <c r="DO99" s="63"/>
      <c r="DP99" s="139"/>
      <c r="DQ99" s="139"/>
      <c r="DR99" s="63"/>
      <c r="DS99" s="63"/>
      <c r="DU99" s="63"/>
      <c r="DV99" s="139"/>
      <c r="DW99" s="139"/>
      <c r="DX99" s="139"/>
      <c r="DZ99" s="63"/>
      <c r="EA99" s="139"/>
      <c r="EB99" s="139"/>
      <c r="EC99" s="139"/>
      <c r="ED99" s="139"/>
      <c r="EF99" s="364" t="s">
        <v>416</v>
      </c>
      <c r="EG99" s="365" t="s">
        <v>417</v>
      </c>
      <c r="EH99" s="365" t="s">
        <v>418</v>
      </c>
      <c r="EI99" s="365" t="s">
        <v>419</v>
      </c>
      <c r="EJ99" s="904" t="s">
        <v>420</v>
      </c>
      <c r="EL99" s="63"/>
      <c r="EM99" s="63"/>
      <c r="EN99" s="139"/>
      <c r="EO99" s="139"/>
      <c r="EP99" s="139"/>
      <c r="EQ99" s="139"/>
      <c r="ER99" s="139"/>
      <c r="ES99" s="139"/>
      <c r="ET99" s="139"/>
      <c r="EU99" s="139"/>
      <c r="EW99" s="369" t="s">
        <v>626</v>
      </c>
      <c r="EX99" s="370" t="s">
        <v>627</v>
      </c>
      <c r="EY99" s="370" t="s">
        <v>628</v>
      </c>
      <c r="EZ99" s="371" t="s">
        <v>692</v>
      </c>
      <c r="FB99" s="139"/>
      <c r="FC99" s="139"/>
      <c r="FD99" s="139"/>
      <c r="FE99" s="139"/>
      <c r="FF99" s="139"/>
      <c r="FG99" s="139"/>
      <c r="FH99" s="139"/>
      <c r="FI99" s="139"/>
      <c r="FJ99" s="139"/>
      <c r="FK99" s="139"/>
      <c r="FL99" s="139"/>
      <c r="FM99" s="139"/>
      <c r="FN99" s="139"/>
      <c r="FO99" s="139"/>
      <c r="FP99" s="139"/>
      <c r="FQ99" s="139"/>
      <c r="FR99" s="139"/>
      <c r="FS99" s="139"/>
      <c r="FT99" s="139"/>
      <c r="FU99" s="139"/>
      <c r="FW99" s="872" t="s">
        <v>56</v>
      </c>
      <c r="FX99" s="873" t="s">
        <v>57</v>
      </c>
      <c r="FY99" s="873" t="s">
        <v>58</v>
      </c>
      <c r="FZ99" s="874" t="s">
        <v>59</v>
      </c>
      <c r="GB99" s="63"/>
      <c r="GC99" s="63"/>
      <c r="GD99" s="63"/>
      <c r="GE99" s="55"/>
      <c r="GF99" s="55"/>
      <c r="GG99" s="55"/>
      <c r="GH99" s="55"/>
      <c r="GI99" s="55"/>
      <c r="GJ99" s="139"/>
      <c r="GK99" s="55"/>
      <c r="GL99" s="55"/>
      <c r="GM99" s="55"/>
      <c r="GN99" s="55"/>
      <c r="GP99" s="911" t="s">
        <v>41</v>
      </c>
      <c r="GQ99" s="761" t="s">
        <v>344</v>
      </c>
      <c r="GR99" s="912" t="s">
        <v>343</v>
      </c>
      <c r="GS99" s="63"/>
      <c r="GT99" s="63"/>
      <c r="GU99" s="139"/>
      <c r="GV99" s="139"/>
      <c r="GW99" s="139"/>
      <c r="GX99" s="139"/>
      <c r="HA99" s="911" t="s">
        <v>46</v>
      </c>
      <c r="HB99" s="761" t="s">
        <v>39</v>
      </c>
      <c r="HC99" s="912" t="s">
        <v>88</v>
      </c>
      <c r="HD99" s="63"/>
      <c r="HE99" s="63"/>
      <c r="HF99" s="139"/>
      <c r="HG99" s="139"/>
      <c r="HH99" s="139"/>
      <c r="HI99" s="139"/>
      <c r="HK99" s="139"/>
      <c r="HL99" s="55"/>
      <c r="HM99" s="55"/>
      <c r="HN99" s="55"/>
      <c r="HO99" s="55"/>
      <c r="HP99" s="55"/>
      <c r="HQ99" s="55"/>
      <c r="HR99" s="55"/>
      <c r="HS99" s="55"/>
      <c r="HT99" s="55"/>
      <c r="HU99" s="55"/>
      <c r="HV99" s="55"/>
      <c r="HW99" s="139"/>
      <c r="HX99" s="139"/>
      <c r="HY99" s="139"/>
      <c r="HZ99" s="139"/>
      <c r="IA99" s="139"/>
      <c r="IB99" s="139"/>
      <c r="IC99" s="55"/>
      <c r="ID99" s="63"/>
      <c r="IE99" s="63"/>
      <c r="IF99" s="63"/>
      <c r="IG99" s="63"/>
      <c r="IH99" s="63"/>
      <c r="II99" s="63"/>
      <c r="IJ99" s="139"/>
      <c r="IK99" s="139"/>
      <c r="IL99" s="139"/>
      <c r="IM99" s="139"/>
      <c r="IN99" s="139"/>
      <c r="IO99" s="139"/>
      <c r="IQ99" s="927" t="s">
        <v>208</v>
      </c>
      <c r="IR99" s="928" t="s">
        <v>209</v>
      </c>
      <c r="IS99" s="928" t="s">
        <v>210</v>
      </c>
      <c r="IT99" s="928" t="s">
        <v>211</v>
      </c>
      <c r="IU99" s="929" t="s">
        <v>212</v>
      </c>
      <c r="JB99" s="139"/>
      <c r="JC99" s="139"/>
      <c r="JD99" s="139"/>
      <c r="JE99" s="139"/>
      <c r="JF99" s="139"/>
      <c r="JG99" s="139"/>
      <c r="JH99" s="139"/>
      <c r="JI99" s="139"/>
      <c r="JK99" s="927" t="s">
        <v>42</v>
      </c>
      <c r="JL99" s="967" t="s">
        <v>45</v>
      </c>
      <c r="JM99" s="928" t="s">
        <v>43</v>
      </c>
      <c r="JN99" s="929" t="s">
        <v>44</v>
      </c>
      <c r="JO99" s="139"/>
      <c r="JU99" s="296"/>
      <c r="JV99" s="296"/>
      <c r="JW99" s="296"/>
      <c r="JY99" s="924" t="s">
        <v>47</v>
      </c>
      <c r="JZ99" s="925" t="s">
        <v>48</v>
      </c>
      <c r="KA99" s="925" t="s">
        <v>49</v>
      </c>
      <c r="KB99" s="926" t="s">
        <v>614</v>
      </c>
      <c r="KC99" s="139"/>
      <c r="KE99" s="959" t="s">
        <v>296</v>
      </c>
      <c r="KF99" s="960" t="s">
        <v>297</v>
      </c>
      <c r="KG99" s="960" t="s">
        <v>298</v>
      </c>
      <c r="KH99" s="960" t="s">
        <v>299</v>
      </c>
      <c r="KI99" s="960" t="s">
        <v>300</v>
      </c>
      <c r="KJ99" s="961" t="s">
        <v>639</v>
      </c>
      <c r="KK99" s="976"/>
      <c r="KL99" s="976"/>
      <c r="KM99" s="976"/>
      <c r="KN99" s="976"/>
      <c r="KO99" s="976"/>
      <c r="KP99" s="976"/>
      <c r="KW99" s="136"/>
      <c r="KY99" s="962" t="s">
        <v>237</v>
      </c>
      <c r="KZ99" s="761" t="s">
        <v>663</v>
      </c>
      <c r="LA99" s="963" t="s">
        <v>664</v>
      </c>
      <c r="LB99" s="55"/>
      <c r="LC99" s="139"/>
      <c r="LH99" s="164"/>
      <c r="LJ99" s="983"/>
      <c r="LK99" s="761" t="s">
        <v>192</v>
      </c>
      <c r="LL99" s="761" t="s">
        <v>220</v>
      </c>
      <c r="LM99" s="761" t="s">
        <v>459</v>
      </c>
      <c r="LN99" s="761" t="s">
        <v>262</v>
      </c>
      <c r="LO99" s="963" t="s">
        <v>221</v>
      </c>
      <c r="LP99" s="55"/>
      <c r="LW99" s="55"/>
      <c r="LX99" s="55"/>
      <c r="LY99" s="55"/>
      <c r="LZ99" s="55"/>
      <c r="MA99" s="55"/>
      <c r="MB99" s="55"/>
      <c r="MD99" s="369" t="s">
        <v>75</v>
      </c>
      <c r="ME99" s="370" t="s">
        <v>263</v>
      </c>
      <c r="MF99" s="370" t="s">
        <v>264</v>
      </c>
      <c r="MG99" s="370" t="s">
        <v>79</v>
      </c>
      <c r="MH99" s="370" t="s">
        <v>77</v>
      </c>
      <c r="MI99" s="371" t="s">
        <v>78</v>
      </c>
      <c r="MO99" s="139"/>
      <c r="MP99" s="139"/>
      <c r="MQ99" s="139"/>
      <c r="MR99" s="139"/>
      <c r="MS99" s="139"/>
      <c r="MT99" s="139"/>
      <c r="MU99" s="139"/>
      <c r="MV99" s="139"/>
      <c r="MX99" s="1236">
        <f>INDEX('Aides traitements'!$E$4:$E$5,'Page de garde'!$G$4,1)</f>
        <v>2009</v>
      </c>
      <c r="MY99" s="1237"/>
      <c r="MZ99" s="1237">
        <f>'Aides traitements'!$I$11</f>
        <v>2020</v>
      </c>
      <c r="NA99" s="1237"/>
      <c r="NG99" s="812"/>
      <c r="NH99" s="325"/>
      <c r="NI99" s="139"/>
      <c r="NJ99" s="139"/>
      <c r="NK99" s="139"/>
      <c r="NL99" s="139"/>
      <c r="NM99" s="139"/>
      <c r="NN99" s="139"/>
      <c r="NO99" s="139"/>
      <c r="NP99" s="139"/>
      <c r="NQ99" s="139"/>
      <c r="NR99" s="139"/>
      <c r="NS99" s="139"/>
      <c r="NT99" s="139"/>
      <c r="NU99" s="139"/>
      <c r="NV99" s="139"/>
      <c r="NW99" s="139"/>
      <c r="NX99" s="139"/>
      <c r="NY99" s="139"/>
      <c r="NZ99" s="139"/>
      <c r="OA99" s="139"/>
      <c r="OB99" s="139"/>
      <c r="OC99" s="139"/>
      <c r="OD99" s="139"/>
      <c r="OE99" s="139"/>
      <c r="OF99" s="139"/>
      <c r="OG99" s="139"/>
      <c r="OH99" s="139"/>
      <c r="OI99" s="139"/>
      <c r="OJ99" s="139"/>
      <c r="OK99" s="139"/>
      <c r="OL99" s="139"/>
      <c r="OM99" s="139"/>
      <c r="ON99" s="139"/>
      <c r="OO99" s="139"/>
      <c r="OP99" s="139"/>
      <c r="OQ99" s="139"/>
      <c r="OR99" s="139"/>
      <c r="OS99" s="139"/>
      <c r="OU99" s="369" t="s">
        <v>294</v>
      </c>
      <c r="OV99" s="370" t="s">
        <v>288</v>
      </c>
      <c r="OW99" s="370" t="s">
        <v>447</v>
      </c>
      <c r="OX99" s="371" t="s">
        <v>302</v>
      </c>
      <c r="PG99" s="139"/>
      <c r="PI99" s="381" t="s">
        <v>294</v>
      </c>
      <c r="PJ99" s="382" t="s">
        <v>288</v>
      </c>
      <c r="PK99" s="382" t="s">
        <v>447</v>
      </c>
      <c r="PL99" s="383" t="s">
        <v>302</v>
      </c>
      <c r="PR99" s="55"/>
      <c r="PS99" s="1050" t="s">
        <v>677</v>
      </c>
      <c r="PT99" s="1051" t="s">
        <v>678</v>
      </c>
      <c r="PU99" s="1051" t="s">
        <v>709</v>
      </c>
      <c r="PV99" s="1051" t="s">
        <v>710</v>
      </c>
      <c r="PW99" s="1051" t="s">
        <v>711</v>
      </c>
      <c r="PX99" s="1179" t="s">
        <v>712</v>
      </c>
      <c r="PY99" s="139"/>
      <c r="PZ99" s="55"/>
      <c r="QA99" s="1050" t="s">
        <v>699</v>
      </c>
      <c r="QB99" s="1051" t="s">
        <v>700</v>
      </c>
      <c r="QC99" s="1111" t="s">
        <v>695</v>
      </c>
      <c r="QD99" s="1111" t="s">
        <v>696</v>
      </c>
      <c r="QE99" s="1111" t="s">
        <v>697</v>
      </c>
      <c r="QF99" s="1112" t="s">
        <v>698</v>
      </c>
    </row>
    <row r="100" spans="1:448" ht="31.95" customHeight="1">
      <c r="B100" s="63"/>
      <c r="C100" s="63"/>
      <c r="D100" s="63"/>
      <c r="E100" s="63"/>
      <c r="X100" s="63"/>
      <c r="Y100" s="97"/>
      <c r="Z100" s="97"/>
      <c r="AA100" s="97"/>
      <c r="AB100" s="97"/>
      <c r="AJ100" s="63"/>
      <c r="AM100" s="696"/>
      <c r="AN100" s="294">
        <f>INDEX('Aides traitements'!$E$4:$E$5,'Page de garde'!$G$4,1)</f>
        <v>2009</v>
      </c>
      <c r="AO100" s="869">
        <f>IF($AN$100=2009,VLOOKUP($AN$97,$AN$66:$BL$91,2,FALSE)/(VLOOKUP($AN$97,$AN$66:$BL$91,2,FALSE)+VLOOKUP($AN$97,$AN$66:$BL$91,3,FALSE)+VLOOKUP($AN$97,$AN$66:$BL$91,4,FALSE)+VLOOKUP($AN$97,$AN$66:$BL$91,5,FALSE)+VLOOKUP($AN$97,$AN$66:$BL$91,6,FALSE)+VLOOKUP($AN$97,$AN$66:$BL$91,7,FALSE)+VLOOKUP($AN$97,$AN$66:$BL$91,8,FALSE)+VLOOKUP($AN$97,$AN$66:$BL$91,9,FALSE)),VLOOKUP($AN$97,$AN$66:$BL$91,10,FALSE)/(VLOOKUP($AN$97,$AN$66:$BL$91,10,FALSE)+VLOOKUP($AN$97,$AN$66:$BL$91,11,FALSE)+VLOOKUP($AN$97,$AN$66:$BL$91,12,FALSE)+VLOOKUP($AN$97,$AN$66:$BL$91,13,FALSE)+VLOOKUP($AN$97,$AN$66:$BL$91,14,FALSE)+VLOOKUP($AN$97,$AN$66:$BL$91,15,FALSE)+VLOOKUP($AN$97,$AN$66:$BL$91,16,FALSE)+VLOOKUP($AN$97,$AN$66:$BL$91,17,FALSE)))</f>
        <v>0</v>
      </c>
      <c r="AP100" s="869">
        <f>IF($AN$100=2009,VLOOKUP($AN$97,$AN$66:$BL$91,3,FALSE)/(VLOOKUP($AN$97,$AN$66:$BL$91,2,FALSE)+VLOOKUP($AN$97,$AN$66:$BL$91,3,FALSE)+VLOOKUP($AN$97,$AN$66:$BL$91,4,FALSE)+VLOOKUP($AN$97,$AN$66:$BL$91,5,FALSE)+VLOOKUP($AN$97,$AN$66:$BL$91,6,FALSE)+VLOOKUP($AN$97,$AN$66:$BL$91,7,FALSE)+VLOOKUP($AN$97,$AN$66:$BL$91,8,FALSE)+VLOOKUP($AN$97,$AN$66:$BL$91,9,FALSE)),VLOOKUP($AN$97,$AN$66:$BL$91,11,FALSE)/(VLOOKUP($AN$97,$AN$66:$BL$91,10,FALSE)+VLOOKUP($AN$97,$AN$66:$BL$91,11,FALSE)+VLOOKUP($AN$97,$AN$66:$BL$91,12,FALSE)+VLOOKUP($AN$97,$AN$66:$BL$91,13,FALSE)+VLOOKUP($AN$97,$AN$66:$BL$91,14,FALSE)+VLOOKUP($AN$97,$AN$66:$BL$91,15,FALSE)+VLOOKUP($AN$97,$AN$66:$BL$91,16,FALSE)+VLOOKUP($AN$97,$AN$66:$BL$91,17,FALSE)))</f>
        <v>2.1760528296741459E-2</v>
      </c>
      <c r="AQ100" s="869">
        <f>IF($AN$100=2009,VLOOKUP($AN$97,$AN$66:$BL$91,4,FALSE)/(VLOOKUP($AN$97,$AN$66:$BL$91,2,FALSE)+VLOOKUP($AN$97,$AN$66:$BL$91,3,FALSE)+VLOOKUP($AN$97,$AN$66:$BL$91,4,FALSE)+VLOOKUP($AN$97,$AN$66:$BL$91,5,FALSE)+VLOOKUP($AN$97,$AN$66:$BL$91,6,FALSE)+VLOOKUP($AN$97,$AN$66:$BL$91,7,FALSE)+VLOOKUP($AN$97,$AN$66:$BL$91,8,FALSE)+VLOOKUP($AN$97,$AN$66:$BL$91,9,FALSE)),VLOOKUP($AN$97,$AN$66:$BL$91,12,FALSE)/(VLOOKUP($AN$97,$AN$66:$BL$91,10,FALSE)+VLOOKUP($AN$97,$AN$66:$BL$91,11,FALSE)+VLOOKUP($AN$97,$AN$66:$BL$91,12,FALSE)+VLOOKUP($AN$97,$AN$66:$BL$91,13,FALSE)+VLOOKUP($AN$97,$AN$66:$BL$91,14,FALSE)+VLOOKUP($AN$97,$AN$66:$BL$91,15,FALSE)+VLOOKUP($AN$97,$AN$66:$BL$91,16,FALSE)+VLOOKUP($AN$97,$AN$66:$BL$91,17,FALSE)))</f>
        <v>0.12566911442781736</v>
      </c>
      <c r="AR100" s="869">
        <f>IF($AN$100=2009,VLOOKUP($AN$97,$AN$66:$BL$91,5,FALSE)/(VLOOKUP($AN$97,$AN$66:$BL$91,2,FALSE)+VLOOKUP($AN$97,$AN$66:$BL$91,3,FALSE)+VLOOKUP($AN$97,$AN$66:$BL$91,4,FALSE)+VLOOKUP($AN$97,$AN$66:$BL$91,5,FALSE)+VLOOKUP($AN$97,$AN$66:$BL$91,6,FALSE)+VLOOKUP($AN$97,$AN$66:$BL$91,7,FALSE)+VLOOKUP($AN$97,$AN$66:$BL$91,8,FALSE)+VLOOKUP($AN$97,$AN$66:$BL$91,9,FALSE)),VLOOKUP($AN$97,$AN$66:$BL$91,13,FALSE)/(VLOOKUP($AN$97,$AN$66:$BL$91,10,FALSE)+VLOOKUP($AN$97,$AN$66:$BL$91,11,FALSE)+VLOOKUP($AN$97,$AN$66:$BL$91,12,FALSE)+VLOOKUP($AN$97,$AN$66:$BL$91,13,FALSE)+VLOOKUP($AN$97,$AN$66:$BL$91,14,FALSE)+VLOOKUP($AN$97,$AN$66:$BL$91,15,FALSE)+VLOOKUP($AN$97,$AN$66:$BL$91,16,FALSE)+VLOOKUP($AN$97,$AN$66:$BL$91,17,FALSE)))</f>
        <v>0.16682599226901548</v>
      </c>
      <c r="AS100" s="869">
        <f>IF($AN$100=2009,VLOOKUP($AN$97,$AN$66:$BL$91,6,FALSE)/(VLOOKUP($AN$97,$AN$66:$BL$91,2,FALSE)+VLOOKUP($AN$97,$AN$66:$BL$91,3,FALSE)+VLOOKUP($AN$97,$AN$66:$BL$91,4,FALSE)+VLOOKUP($AN$97,$AN$66:$BL$91,5,FALSE)+VLOOKUP($AN$97,$AN$66:$BL$91,6,FALSE)+VLOOKUP($AN$97,$AN$66:$BL$91,7,FALSE)+VLOOKUP($AN$97,$AN$66:$BL$91,8,FALSE)+VLOOKUP($AN$97,$AN$66:$BL$91,9,FALSE)),VLOOKUP($AN$97,$AN$66:$BL$91,14,FALSE)/(VLOOKUP($AN$97,$AN$66:$BL$91,10,FALSE)+VLOOKUP($AN$97,$AN$66:$BL$91,11,FALSE)+VLOOKUP($AN$97,$AN$66:$BL$91,12,FALSE)+VLOOKUP($AN$97,$AN$66:$BL$91,13,FALSE)+VLOOKUP($AN$97,$AN$66:$BL$91,14,FALSE)+VLOOKUP($AN$97,$AN$66:$BL$91,15,FALSE)+VLOOKUP($AN$97,$AN$66:$BL$91,16,FALSE)+VLOOKUP($AN$97,$AN$66:$BL$91,17,FALSE)))</f>
        <v>9.0955602369682059E-2</v>
      </c>
      <c r="AT100" s="869">
        <f>IF($AN$100=2009,VLOOKUP($AN$97,$AN$66:$BL$91,7,FALSE)/(VLOOKUP($AN$97,$AN$66:$BL$91,2,FALSE)+VLOOKUP($AN$97,$AN$66:$BL$91,3,FALSE)+VLOOKUP($AN$97,$AN$66:$BL$91,4,FALSE)+VLOOKUP($AN$97,$AN$66:$BL$91,5,FALSE)+VLOOKUP($AN$97,$AN$66:$BL$91,6,FALSE)+VLOOKUP($AN$97,$AN$66:$BL$91,7,FALSE)+VLOOKUP($AN$97,$AN$66:$BL$91,8,FALSE)+VLOOKUP($AN$97,$AN$66:$BL$91,9,FALSE)),VLOOKUP($AN$97,$AN$66:$BL$91,15,FALSE)/(VLOOKUP($AN$97,$AN$66:$BL$91,10,FALSE)+VLOOKUP($AN$97,$AN$66:$BL$91,11,FALSE)+VLOOKUP($AN$97,$AN$66:$BL$91,12,FALSE)+VLOOKUP($AN$97,$AN$66:$BL$91,13,FALSE)+VLOOKUP($AN$97,$AN$66:$BL$91,14,FALSE)+VLOOKUP($AN$97,$AN$66:$BL$91,15,FALSE)+VLOOKUP($AN$97,$AN$66:$BL$91,16,FALSE)+VLOOKUP($AN$97,$AN$66:$BL$91,17,FALSE)))</f>
        <v>9.22460689459772E-2</v>
      </c>
      <c r="AU100" s="869">
        <f>IF($AN$100=2009,VLOOKUP($AN$97,$AN$66:$BL$91,8,FALSE)/(VLOOKUP($AN$97,$AN$66:$BL$91,2,FALSE)+VLOOKUP($AN$97,$AN$66:$BL$91,3,FALSE)+VLOOKUP($AN$97,$AN$66:$BL$91,4,FALSE)+VLOOKUP($AN$97,$AN$66:$BL$91,5,FALSE)+VLOOKUP($AN$97,$AN$66:$BL$91,6,FALSE)+VLOOKUP($AN$97,$AN$66:$BL$91,7,FALSE)+VLOOKUP($AN$97,$AN$66:$BL$91,8,FALSE)+VLOOKUP($AN$97,$AN$66:$BL$91,9,FALSE)),VLOOKUP($AN$97,$AN$66:$BL$91,16,FALSE)/(VLOOKUP($AN$97,$AN$66:$BL$91,10,FALSE)+VLOOKUP($AN$97,$AN$66:$BL$91,11,FALSE)+VLOOKUP($AN$97,$AN$66:$BL$91,12,FALSE)+VLOOKUP($AN$97,$AN$66:$BL$91,13,FALSE)+VLOOKUP($AN$97,$AN$66:$BL$91,14,FALSE)+VLOOKUP($AN$97,$AN$66:$BL$91,15,FALSE)+VLOOKUP($AN$97,$AN$66:$BL$91,16,FALSE)+VLOOKUP($AN$97,$AN$66:$BL$91,17,FALSE)))</f>
        <v>0.24952327047360673</v>
      </c>
      <c r="AV100" s="869">
        <f>IF($AN$100=2009,VLOOKUP($AN$97,$AN$66:$BL$91,9,FALSE)/(VLOOKUP($AN$97,$AN$66:$BL$91,2,FALSE)+VLOOKUP($AN$97,$AN$66:$BL$91,3,FALSE)+VLOOKUP($AN$97,$AN$66:$BL$91,4,FALSE)+VLOOKUP($AN$97,$AN$66:$BL$91,5,FALSE)+VLOOKUP($AN$97,$AN$66:$BL$91,6,FALSE)+VLOOKUP($AN$97,$AN$66:$BL$91,7,FALSE)+VLOOKUP($AN$97,$AN$66:$BL$91,8,FALSE)+VLOOKUP($AN$97,$AN$66:$BL$91,9,FALSE)),VLOOKUP($AN$97,$AN$66:$BL$91,17,FALSE)/(VLOOKUP($AN$97,$AN$66:$BL$91,10,FALSE)+VLOOKUP($AN$97,$AN$66:$BL$91,11,FALSE)+VLOOKUP($AN$97,$AN$66:$BL$91,12,FALSE)+VLOOKUP($AN$97,$AN$66:$BL$91,13,FALSE)+VLOOKUP($AN$97,$AN$66:$BL$91,14,FALSE)+VLOOKUP($AN$97,$AN$66:$BL$91,15,FALSE)+VLOOKUP($AN$97,$AN$66:$BL$91,16,FALSE)+VLOOKUP($AN$97,$AN$66:$BL$91,17,FALSE)))</f>
        <v>0.25301942321715981</v>
      </c>
      <c r="AW100" s="1361"/>
      <c r="AX100" s="1361"/>
      <c r="AY100" s="1361"/>
      <c r="AZ100" s="1361"/>
      <c r="BA100" s="1361"/>
      <c r="BB100" s="1361"/>
      <c r="BC100" s="1361"/>
      <c r="BD100" s="1361"/>
      <c r="BN100" s="294">
        <f>INDEX('Aides traitements'!$E$4:$E$5,'Page de garde'!$G$4,1)</f>
        <v>2009</v>
      </c>
      <c r="BO100" s="181">
        <f>IF($BN$100=2009,VLOOKUP($BN$97,$BN$66:$CF$91,2,FALSE)/(VLOOKUP($BN$97,$BN$66:$CF$91,2,FALSE)+VLOOKUP($BN$97,$BN$66:$CF$91,3,FALSE)+VLOOKUP($BN$97,$BN$66:$CF$91,4,FALSE)+VLOOKUP($BN$97,$BN$66:$CF$91,5,FALSE)+VLOOKUP($BN$97,$BN$66:$CF$91,6,FALSE)+VLOOKUP($BN$97,$BN$66:$CF$91,7,FALSE)),VLOOKUP($BN$97,$BN$66:$CF$91,8,FALSE)/(VLOOKUP($BN$97,$BN$66:$CF$91,8,FALSE)+VLOOKUP($BN$97,$BN$66:$CF$91,9,FALSE)+VLOOKUP($BN$97,$BN$66:$CF$91,10,FALSE)+VLOOKUP($BN$97,$BN$66:$CF$91,11,FALSE)+VLOOKUP($BN$97,$BN$66:$CF$91,12,FALSE)+VLOOKUP($BN$97,$BN$66:$CF$91,13,FALSE)))</f>
        <v>9.178134619227947E-2</v>
      </c>
      <c r="BP100" s="182">
        <f>IF($BN$100=2009,VLOOKUP($BN$97,$BN$66:$CF$91,3,FALSE)/(VLOOKUP($BN$97,$BN$66:$CF$91,2,FALSE)+VLOOKUP($BN$97,$BN$66:$CF$91,3,FALSE)+VLOOKUP($BN$97,$BN$66:$CF$91,4,FALSE)+VLOOKUP($BN$97,$BN$66:$CF$91,5,FALSE)+VLOOKUP($BN$97,$BN$66:$CF$91,6,FALSE)+VLOOKUP($BN$97,$BN$66:$CF$91,7,FALSE)),VLOOKUP($BN$97,$BN$66:$CF$91,9,FALSE)/(VLOOKUP($BN$97,$BN$66:$CF$91,8,FALSE)+VLOOKUP($BN$97,$BN$66:$CF$91,9,FALSE)+VLOOKUP($BN$97,$BN$66:$CF$91,10,FALSE)+VLOOKUP($BN$97,$BN$66:$CF$91,11,FALSE)+VLOOKUP($BN$97,$BN$66:$CF$91,12,FALSE)+VLOOKUP($BN$97,$BN$66:$CF$91,13,FALSE)))</f>
        <v>0.36338731168461413</v>
      </c>
      <c r="BQ100" s="182">
        <f>IF($BN$100=2009,VLOOKUP($BN$97,$BN$66:$CF$91,4,FALSE)/(VLOOKUP($BN$97,$BN$66:$CF$91,2,FALSE)+VLOOKUP($BN$97,$BN$66:$CF$91,3,FALSE)+VLOOKUP($BN$97,$BN$66:$CF$91,4,FALSE)+VLOOKUP($BN$97,$BN$66:$CF$91,5,FALSE)+VLOOKUP($BN$97,$BN$66:$CF$91,6,FALSE)+VLOOKUP($BN$97,$BN$66:$CF$91,7,FALSE)),VLOOKUP($BN$97,$BN$66:$CF$91,10,FALSE)/(VLOOKUP($BN$97,$BN$66:$CF$91,8,FALSE)+VLOOKUP($BN$97,$BN$66:$CF$91,9,FALSE)+VLOOKUP($BN$97,$BN$66:$CF$91,10,FALSE)+VLOOKUP($BN$97,$BN$66:$CF$91,11,FALSE)+VLOOKUP($BN$97,$BN$66:$CF$91,12,FALSE)+VLOOKUP($BN$97,$BN$66:$CF$91,13,FALSE)))</f>
        <v>0.17689776781050678</v>
      </c>
      <c r="BR100" s="182">
        <f>IF($BN$100=2009,VLOOKUP($BN$97,$BN$66:$CF$91,5,FALSE)/(VLOOKUP($BN$97,$BN$66:$CF$91,2,FALSE)+VLOOKUP($BN$97,$BN$66:$CF$91,3,FALSE)+VLOOKUP($BN$97,$BN$66:$CF$91,4,FALSE)+VLOOKUP($BN$97,$BN$66:$CF$91,5,FALSE)+VLOOKUP($BN$97,$BN$66:$CF$91,6,FALSE)+VLOOKUP($BN$97,$BN$66:$CF$91,7,FALSE)),VLOOKUP($BN$97,$BN$66:$CF$91,11,FALSE)/(VLOOKUP($BN$97,$BN$66:$CF$91,8,FALSE)+VLOOKUP($BN$97,$BN$66:$CF$91,9,FALSE)+VLOOKUP($BN$97,$BN$66:$CF$91,10,FALSE)+VLOOKUP($BN$97,$BN$66:$CF$91,11,FALSE)+VLOOKUP($BN$97,$BN$66:$CF$91,12,FALSE)+VLOOKUP($BN$97,$BN$66:$CF$91,13,FALSE)))</f>
        <v>0.11907249561143533</v>
      </c>
      <c r="BS100" s="182">
        <f>IF($BN$100=2009,VLOOKUP($BN$97,$BN$66:$CF$91,6,FALSE)/(VLOOKUP($BN$97,$BN$66:$CF$91,2,FALSE)+VLOOKUP($BN$97,$BN$66:$CF$91,3,FALSE)+VLOOKUP($BN$97,$BN$66:$CF$91,4,FALSE)+VLOOKUP($BN$97,$BN$66:$CF$91,5,FALSE)+VLOOKUP($BN$97,$BN$66:$CF$91,6,FALSE)+VLOOKUP($BN$97,$BN$66:$CF$91,7,FALSE)),VLOOKUP($BN$97,$BN$66:$CF$91,12,FALSE)/(VLOOKUP($BN$97,$BN$66:$CF$91,8,FALSE)+VLOOKUP($BN$97,$BN$66:$CF$91,9,FALSE)+VLOOKUP($BN$97,$BN$66:$CF$91,10,FALSE)+VLOOKUP($BN$97,$BN$66:$CF$91,11,FALSE)+VLOOKUP($BN$97,$BN$66:$CF$91,12,FALSE)+VLOOKUP($BN$97,$BN$66:$CF$91,13,FALSE)))</f>
        <v>9.1662206154141182E-2</v>
      </c>
      <c r="BT100" s="183">
        <f>IF($BN$100=2009,VLOOKUP($BN$97,$BN$66:$CF$91,7,FALSE)/(VLOOKUP($BN$97,$BN$66:$CF$91,2,FALSE)+VLOOKUP($BN$97,$BN$66:$CF$91,3,FALSE)+VLOOKUP($BN$97,$BN$66:$CF$91,4,FALSE)+VLOOKUP($BN$97,$BN$66:$CF$91,5,FALSE)+VLOOKUP($BN$97,$BN$66:$CF$91,6,FALSE)+VLOOKUP($BN$97,$BN$66:$CF$91,7,FALSE)),VLOOKUP($BN$97,$BN$66:$CF$91,13,FALSE)/(VLOOKUP($BN$97,$BN$66:$CF$91,8,FALSE)+VLOOKUP($BN$97,$BN$66:$CF$91,9,FALSE)+VLOOKUP($BN$97,$BN$66:$CF$91,10,FALSE)+VLOOKUP($BN$97,$BN$66:$CF$91,11,FALSE)+VLOOKUP($BN$97,$BN$66:$CF$91,12,FALSE)+VLOOKUP($BN$97,$BN$66:$CF$91,13,FALSE)))</f>
        <v>0.15719887254702317</v>
      </c>
      <c r="CS100" s="426"/>
      <c r="CT100" s="426"/>
      <c r="CU100" s="426"/>
      <c r="CV100" s="426"/>
      <c r="CW100" s="426"/>
      <c r="DG100" s="55"/>
      <c r="DH100" s="55"/>
      <c r="DI100" s="55"/>
      <c r="DJ100" s="55"/>
      <c r="DO100" s="63"/>
      <c r="DR100" s="63"/>
      <c r="DS100" s="63"/>
      <c r="DU100" s="63"/>
      <c r="DZ100" s="63"/>
      <c r="EE100" s="294">
        <f>INDEX('Aides traitements'!$E$4:$E$5,'Page de garde'!$G$4,1)</f>
        <v>2009</v>
      </c>
      <c r="EF100" s="764">
        <f>IF($EE$100=2009,VLOOKUP($EE$97,'Base de données'!$EE$66:$ET$91,2,FALSE)/(VLOOKUP($EE$97,'Base de données'!$EE$66:$ET$91,2,FALSE)+VLOOKUP($EE$97,'Base de données'!$EE$66:$ET$91,3,FALSE)+VLOOKUP($EE$97,'Base de données'!$EE$66:$ET$91,4,FALSE)+VLOOKUP($EE$97,'Base de données'!$EE$66:$ET$91,5,FALSE)+VLOOKUP($EE$97,'Base de données'!$EE$66:$ET$91,6,FALSE)),VLOOKUP($EE$97,'Base de données'!$EE$66:$ET$91,7,FALSE)/(VLOOKUP($EE$97,'Base de données'!$EE$66:$ET$91,7,FALSE)+VLOOKUP($EE$97,'Base de données'!$EE$66:$ET$91,8,FALSE)+VLOOKUP($EE$97,'Base de données'!$EE$66:$ET$91,9,FALSE)+VLOOKUP($EE$97,'Base de données'!$EE$66:$ET$91,10,FALSE)+VLOOKUP($EE$97,'Base de données'!$EE$66:$ET$91,11,FALSE)))</f>
        <v>0.59806671751550999</v>
      </c>
      <c r="EG100" s="801">
        <f>IF($EE$100=2009,VLOOKUP($EE$97,'Base de données'!$EE$66:$ET$91,3,FALSE)/(VLOOKUP($EE$97,'Base de données'!$EE$66:$ET$91,2,FALSE)+VLOOKUP($EE$97,'Base de données'!$EE$66:$ET$91,3,FALSE)+VLOOKUP($EE$97,'Base de données'!$EE$66:$ET$91,4,FALSE)+VLOOKUP($EE$97,'Base de données'!$EE$66:$ET$91,5,FALSE)+VLOOKUP($EE$97,'Base de données'!$EE$66:$ET$91,6,FALSE)),VLOOKUP($EE$97,'Base de données'!$EE$66:$ET$91,8,FALSE)/(VLOOKUP($EE$97,'Base de données'!$EE$66:$ET$91,7,FALSE)+VLOOKUP($EE$97,'Base de données'!$EE$66:$ET$91,8,FALSE)+VLOOKUP($EE$97,'Base de données'!$EE$66:$ET$91,9,FALSE)+VLOOKUP($EE$97,'Base de données'!$EE$66:$ET$91,10,FALSE)+VLOOKUP($EE$97,'Base de données'!$EE$66:$ET$91,11,FALSE)))</f>
        <v>2.675028946943829E-2</v>
      </c>
      <c r="EH100" s="801">
        <f>IF($EE$100=2009,VLOOKUP($EE$97,'Base de données'!$EE$66:$ET$91,4,FALSE)/(VLOOKUP($EE$97,'Base de données'!$EE$66:$ET$91,2,FALSE)+VLOOKUP($EE$97,'Base de données'!$EE$66:$ET$91,3,FALSE)+VLOOKUP($EE$97,'Base de données'!$EE$66:$ET$91,4,FALSE)+VLOOKUP($EE$97,'Base de données'!$EE$66:$ET$91,5,FALSE)+VLOOKUP($EE$97,'Base de données'!$EE$66:$ET$91,6,FALSE)),VLOOKUP($EE$97,'Base de données'!$EE$66:$ET$91,9,FALSE)/(VLOOKUP($EE$97,'Base de données'!$EE$66:$ET$91,7,FALSE)+VLOOKUP($EE$97,'Base de données'!$EE$66:$ET$91,8,FALSE)+VLOOKUP($EE$97,'Base de données'!$EE$66:$ET$91,9,FALSE)+VLOOKUP($EE$97,'Base de données'!$EE$66:$ET$91,10,FALSE)+VLOOKUP($EE$97,'Base de données'!$EE$66:$ET$91,11,FALSE)))</f>
        <v>0.22978585828569853</v>
      </c>
      <c r="EI100" s="801">
        <f>IF($EE$100=2009,VLOOKUP($EE$97,'Base de données'!$EE$66:$ET$91,5,FALSE)/(VLOOKUP($EE$97,'Base de données'!$EE$66:$ET$91,2,FALSE)+VLOOKUP($EE$97,'Base de données'!$EE$66:$ET$91,3,FALSE)+VLOOKUP($EE$97,'Base de données'!$EE$66:$ET$91,4,FALSE)+VLOOKUP($EE$97,'Base de données'!$EE$66:$ET$91,5,FALSE)+VLOOKUP($EE$97,'Base de données'!$EE$66:$ET$91,6,FALSE)),VLOOKUP($EE$97,'Base de données'!$EE$66:$ET$91,10,FALSE)/(VLOOKUP($EE$97,'Base de données'!$EE$66:$ET$91,7,FALSE)+VLOOKUP($EE$97,'Base de données'!$EE$66:$ET$91,8,FALSE)+VLOOKUP($EE$97,'Base de données'!$EE$66:$ET$91,9,FALSE)+VLOOKUP($EE$97,'Base de données'!$EE$66:$ET$91,10,FALSE)+VLOOKUP($EE$97,'Base de données'!$EE$66:$ET$91,11,FALSE)))</f>
        <v>0.10866440290332414</v>
      </c>
      <c r="EJ100" s="804">
        <f>IF($EE$100=2009,VLOOKUP($EE$97,'Base de données'!$EE$66:$ET$91,6,FALSE)/(VLOOKUP($EE$97,'Base de données'!$EE$66:$ET$91,2,FALSE)+VLOOKUP($EE$97,'Base de données'!$EE$66:$ET$91,3,FALSE)+VLOOKUP($EE$97,'Base de données'!$EE$66:$ET$91,4,FALSE)+VLOOKUP($EE$97,'Base de données'!$EE$66:$ET$91,5,FALSE)+VLOOKUP($EE$97,'Base de données'!$EE$66:$ET$91,6,FALSE)),VLOOKUP($EE$97,'Base de données'!$EE$66:$ET$91,11,FALSE)/(VLOOKUP($EE$97,'Base de données'!$EE$66:$ET$91,7,FALSE)+VLOOKUP($EE$97,'Base de données'!$EE$66:$ET$91,8,FALSE)+VLOOKUP($EE$97,'Base de données'!$EE$66:$ET$91,9,FALSE)+VLOOKUP($EE$97,'Base de données'!$EE$66:$ET$91,10,FALSE)+VLOOKUP($EE$97,'Base de données'!$EE$66:$ET$91,11,FALSE)))</f>
        <v>3.6732731826029145E-2</v>
      </c>
      <c r="EL100" s="63"/>
      <c r="EM100" s="63"/>
      <c r="EO100" s="55"/>
      <c r="EV100" s="294">
        <f>INDEX('Aides traitements'!$E$4:$E$5,'Page de garde'!$G$4,1)</f>
        <v>2009</v>
      </c>
      <c r="EW100" s="764">
        <f>IF($EV$100=2009,VLOOKUP($EV$97,$EV$66:$FL$91,2,FALSE)/VLOOKUP($EV$97,$EV$66:$FL$91,6,FALSE),VLOOKUP($EV$97,$EV$66:$FL$91,10,FALSE)/VLOOKUP($EV$97,$EV$66:$FL$91,14,FALSE))</f>
        <v>0.45734150040575539</v>
      </c>
      <c r="EX100" s="801">
        <f>IF($EV$100=2009,VLOOKUP($EV$97,$EV$66:$FL$91,3,FALSE)/VLOOKUP($EV$97,$EV$66:$FL$91,7,FALSE),VLOOKUP($EV$97,$EV$66:$FL$91,11,FALSE)/VLOOKUP($EV$97,$EV$66:$FL$91,15,FALSE))</f>
        <v>0.36920431832736467</v>
      </c>
      <c r="EY100" s="801">
        <f>IF($EV$100=2009,VLOOKUP($EV$97,$EV$66:$FL$91,4,FALSE)/VLOOKUP($EV$97,$EV$66:$FL$91,8,FALSE),VLOOKUP($EV$97,$EV$66:$FL$91,12,FALSE)/VLOOKUP($EV$97,$EV$66:$FL$91,16,FALSE))</f>
        <v>0.36036904513906043</v>
      </c>
      <c r="EZ100" s="804">
        <f>IF($EV$100=2009,VLOOKUP($EV$97,$EV$66:$FL$91,5,FALSE)/VLOOKUP($EV$97,$EV$66:$FL$91,9,FALSE),VLOOKUP($EV$97,$EV$66:$FL$91,13,FALSE)/VLOOKUP($EV$97,$EV$66:$FL$91,17,FALSE))</f>
        <v>0.60696812687241963</v>
      </c>
      <c r="FB100" s="55"/>
      <c r="FC100" s="55"/>
      <c r="FD100" s="55"/>
      <c r="FE100" s="55"/>
      <c r="FF100" s="55"/>
      <c r="FG100" s="55"/>
      <c r="FH100" s="55"/>
      <c r="FI100" s="55"/>
      <c r="FJ100" s="55"/>
      <c r="FK100" s="55"/>
      <c r="FL100" s="55"/>
      <c r="FM100" s="55"/>
      <c r="FV100" s="294">
        <f>INDEX('Aides traitements'!$E$4:$E$5,'Page de garde'!$G$4,1)</f>
        <v>2009</v>
      </c>
      <c r="FW100" s="764">
        <f>IF($FV$100=2009,VLOOKUP($FV$97,$FV$66:$GH$91,2,FALSE)/(VLOOKUP($FV$97,$FV$66:$GH$91,2,FALSE)+VLOOKUP($FV$97,$FV$66:$GH$91,3,FALSE)+VLOOKUP($FV$97,$FV$66:$GH$91,4,FALSE)+VLOOKUP($FV$97,$FV$66:$GH$91,5,FALSE)),VLOOKUP($FV$97,$FV$66:$GH$91,6,FALSE)/(VLOOKUP($FV$97,$FV$66:$GH$91,6,FALSE)+VLOOKUP($FV$97,$FV$66:$GH$91,7,FALSE)+VLOOKUP($FV$97,$FV$66:$GH$91,8,FALSE)+VLOOKUP($FV$97,$FV$66:$GH$91,9,FALSE)))</f>
        <v>0.62609159933364711</v>
      </c>
      <c r="FX100" s="801">
        <f>IF(FV100=2009,VLOOKUP($FV$97,$FV$66:$GH$91,3,FALSE)/(VLOOKUP($FV$97,$FV$66:$GH$91,2,FALSE)+VLOOKUP($FV$97,$FV$66:$GH$91,3,FALSE)+VLOOKUP($FV$97,$FV$66:$GH$91,4,FALSE)+VLOOKUP($FV$97,$FV$66:$GH$91,5,FALSE)),VLOOKUP($FV$97,$FV$66:$GH$91,7,FALSE)/(VLOOKUP($FV$97,$FV$66:$GH$91,6,FALSE)+VLOOKUP($FV$97,$FV$66:$GH$91,7,FALSE)+VLOOKUP($FV$97,$FV$66:$GH$91,8,FALSE)+VLOOKUP($FV$97,$FV$66:$GH$91,9,FALSE)))</f>
        <v>0.1778385637711937</v>
      </c>
      <c r="FY100" s="801">
        <f>IF(FV100=2009,VLOOKUP($FV$97,$FV$66:$GH$91,4,FALSE)/(VLOOKUP($FV$97,$FV$66:$GH$91,2,FALSE)+VLOOKUP($FV$97,$FV$66:$GH$91,3,FALSE)+VLOOKUP($FV$97,$FV$66:$GH$91,4,FALSE)+VLOOKUP($FV$97,$FV$66:$GH$91,5,FALSE)),VLOOKUP($FV$97,$FV$66:$GH$91,8,FALSE)/(VLOOKUP($FV$97,$FV$66:$GH$91,6,FALSE)+VLOOKUP($FV$97,$FV$66:$GH$91,7,FALSE)+VLOOKUP($FV$97,$FV$66:$GH$91,8,FALSE)+VLOOKUP($FV$97,$FV$66:$GH$91,9,FALSE)))</f>
        <v>0.13747376969511288</v>
      </c>
      <c r="FZ100" s="804">
        <f>IF(FV100=2009,VLOOKUP($FV$97,$FV$66:$GH$91,5,FALSE)/(VLOOKUP($FV$97,$FV$66:$GH$91,2,FALSE)+VLOOKUP($FV$97,$FV$66:$GH$91,3,FALSE)+VLOOKUP($FV$97,$FV$66:$GH$91,4,FALSE)+VLOOKUP($FV$97,$FV$66:$GH$91,5,FALSE)),VLOOKUP($FV$97,$FV$66:$GH$91,9,FALSE)/(VLOOKUP($FV$97,$FV$66:$GH$91,6,FALSE)+VLOOKUP($FV$97,$FV$66:$GH$91,7,FALSE)+VLOOKUP($FV$97,$FV$66:$GH$91,8,FALSE)+VLOOKUP($FV$97,$FV$66:$GH$91,9,FALSE)))</f>
        <v>5.8596067200046377E-2</v>
      </c>
      <c r="GB100" s="63"/>
      <c r="GC100" s="63"/>
      <c r="GD100" s="63"/>
      <c r="GK100" s="55"/>
      <c r="GL100" s="55"/>
      <c r="GM100" s="55"/>
      <c r="GN100" s="55"/>
      <c r="GO100" s="294">
        <f>INDEX('Aides traitements'!$E$4:$E$5,'Page de garde'!$G$4,1)</f>
        <v>2009</v>
      </c>
      <c r="GP100" s="764">
        <f>IF($GO$100=2009,VLOOKUP($GO$97,'Base de données'!$GO$66:$GX$91,2,FALSE)/(VLOOKUP($GO$97,'Base de données'!$GO$66:$GX$91,2,FALSE)+VLOOKUP($GO$97,'Base de données'!$GO$66:$GX$91,3,FALSE)+VLOOKUP($GO$97,'Base de données'!$GO$66:$GX$91,4,FALSE)),VLOOKUP($GO$97,'Base de données'!$GO$66:$GX$91,5,FALSE)/(VLOOKUP($GO$97,'Base de données'!$GO$66:$GX$91,5,FALSE)+VLOOKUP($GO$97,'Base de données'!$GO$66:$GX$91,6,FALSE)+VLOOKUP($GO$97,'Base de données'!$GO$66:$GX$91,7,FALSE)))</f>
        <v>0.91161514870200511</v>
      </c>
      <c r="GQ100" s="801">
        <f>IF($GO$100=2009,VLOOKUP($GO$97,'Base de données'!$GO$66:$GX$91,3,FALSE)/(VLOOKUP($GO$97,'Base de données'!$GO$66:$GX$91,2,FALSE)+VLOOKUP($GO$97,'Base de données'!$GO$66:$GX$91,3,FALSE)+VLOOKUP($GO$97,'Base de données'!$GO$66:$GX$91,4,FALSE)),VLOOKUP($GO$97,'Base de données'!$GO$66:$GX$91,6,FALSE)/(VLOOKUP($GO$97,'Base de données'!$GO$66:$GX$91,5,FALSE)+VLOOKUP($GO$97,'Base de données'!$GO$66:$GX$91,6,FALSE)+VLOOKUP($GO$97,'Base de données'!$GO$66:$GX$91,7,FALSE)))</f>
        <v>2.0181132334935691E-2</v>
      </c>
      <c r="GR100" s="804">
        <f>IF($GO$100=2009,VLOOKUP($GO$97,'Base de données'!$GO$66:$GX$91,4,FALSE)/(VLOOKUP($GO$97,'Base de données'!$GO$66:$GX$91,2,FALSE)+VLOOKUP($GO$97,'Base de données'!$GO$66:$GX$91,3,FALSE)+VLOOKUP($GO$97,'Base de données'!$GO$66:$GX$91,4,FALSE)),VLOOKUP($GO$97,'Base de données'!$GO$66:$GX$91,7,FALSE)/(VLOOKUP($GO$97,'Base de données'!$GO$66:$GX$91,5,FALSE)+VLOOKUP($GO$97,'Base de données'!$GO$66:$GX$91,6,FALSE)+VLOOKUP($GO$97,'Base de données'!$GO$66:$GX$91,7,FALSE)))</f>
        <v>6.8203718963059295E-2</v>
      </c>
      <c r="GS100" s="63"/>
      <c r="GT100" s="63"/>
      <c r="GZ100" s="294">
        <f>INDEX('Aides traitements'!$E$4:$E$5,'Page de garde'!$G$4,1)</f>
        <v>2009</v>
      </c>
      <c r="HA100" s="764">
        <f>IF($GZ$100=2009,VLOOKUP($GZ$97,'Base de données'!$GZ$66:$HI$91,2,FALSE)/(VLOOKUP($GZ$97,'Base de données'!$GZ$66:$HI$91,2,FALSE)+VLOOKUP($GZ$97,'Base de données'!$GZ$66:$HI$91,3,FALSE)+VLOOKUP($GZ$97,'Base de données'!$GZ$66:$HI$91,4,FALSE)),VLOOKUP($GZ$97,'Base de données'!$GZ$66:$HI$91,5,FALSE)/(VLOOKUP($GZ$97,'Base de données'!$GZ$66:$HI$91,5,FALSE)+VLOOKUP($GZ$97,'Base de données'!$GZ$66:$HI$91,6,FALSE)+VLOOKUP($GZ$97,'Base de données'!$GZ$66:$HI$91,7,FALSE)))</f>
        <v>0.32491219428555679</v>
      </c>
      <c r="HB100" s="801">
        <f>IF($GZ$100=2009,VLOOKUP($GZ$97,'Base de données'!$GZ$66:$HI$91,3,FALSE)/(VLOOKUP($GZ$97,'Base de données'!$GZ$66:$HI$91,2,FALSE)+VLOOKUP($GZ$97,'Base de données'!$GZ$66:$HI$91,3,FALSE)+VLOOKUP($GZ$97,'Base de données'!$GZ$66:$HI$91,4,FALSE)),VLOOKUP($GZ$97,'Base de données'!$GZ$66:$HI$91,6,FALSE)/(VLOOKUP($GZ$97,'Base de données'!$GZ$66:$HI$91,5,FALSE)+VLOOKUP($GZ$97,'Base de données'!$GZ$66:$HI$91,6,FALSE)+VLOOKUP($GZ$97,'Base de données'!$GZ$66:$HI$91,7,FALSE)))</f>
        <v>0.66584129343962672</v>
      </c>
      <c r="HC100" s="804">
        <f>IF($GZ$100=2009,VLOOKUP($GZ$97,'Base de données'!$GZ$66:$HI$91,4,FALSE)/(VLOOKUP($GZ$97,'Base de données'!$GZ$66:$HI$91,2,FALSE)+VLOOKUP($GZ$97,'Base de données'!$GZ$66:$HI$91,3,FALSE)+VLOOKUP($GZ$97,'Base de données'!$GZ$66:$HI$91,4,FALSE)),VLOOKUP($GZ$97,'Base de données'!$GZ$66:$HI$91,7,FALSE)/(VLOOKUP($GZ$97,'Base de données'!$GZ$66:$HI$91,5,FALSE)+VLOOKUP($GZ$97,'Base de données'!$GZ$66:$HI$91,6,FALSE)+VLOOKUP($GZ$97,'Base de données'!$GZ$66:$HI$91,7,FALSE)))</f>
        <v>9.2465122748165169E-3</v>
      </c>
      <c r="HD100" s="63"/>
      <c r="HE100" s="63"/>
      <c r="HL100" s="55"/>
      <c r="HM100" s="55"/>
      <c r="HN100" s="55"/>
      <c r="HO100" s="55"/>
      <c r="HP100" s="55"/>
      <c r="HQ100" s="55"/>
      <c r="HR100" s="55"/>
      <c r="HS100" s="55"/>
      <c r="HT100" s="55"/>
      <c r="HU100" s="55"/>
      <c r="HV100" s="55"/>
      <c r="HX100" s="63"/>
      <c r="HY100" s="63"/>
      <c r="HZ100" s="63"/>
      <c r="IA100" s="63"/>
      <c r="IB100" s="63"/>
      <c r="IC100" s="63"/>
      <c r="II100" s="63"/>
      <c r="IP100" s="294">
        <f>INDEX('Aides traitements'!$E$4:$E$5,'Page de garde'!$G$4,1)</f>
        <v>2009</v>
      </c>
      <c r="IQ100" s="181">
        <f>IF($IP$100=2009,VLOOKUP($IP$97,$IP$66:$JH$91,2,FALSE)/(VLOOKUP($IP$97,$IP$66:$JH$91,2,FALSE)+VLOOKUP($IP$97,$IP$66:$JH$91,3,FALSE)+VLOOKUP($IP$97,$IP$66:$JH$91,4,FALSE)+VLOOKUP($IP$97,$IP$66:$JH$91,5,FALSE)+VLOOKUP($IP$97,$IP$66:$JH$91,6,FALSE)),VLOOKUP($IP$97,$IP$66:$JH$91,8,FALSE)/(VLOOKUP($IP$97,$IP$66:$JH$91,8,FALSE)+VLOOKUP($IP$97,$IP$66:$JH$91,9,FALSE)+VLOOKUP($IP$97,$IP$66:$JH$91,10,FALSE)+VLOOKUP($IP$97,$IP$66:$JH$91,11,FALSE)+VLOOKUP($IP$97,$IP$66:$JH$91,12,FALSE)))</f>
        <v>0.16118733732310844</v>
      </c>
      <c r="IR100" s="182">
        <f>IF($IP$100=2009,VLOOKUP($IP$97,$IP$66:$JH$91,3,FALSE)/(VLOOKUP($IP$97,$IP$66:$JH$91,2,FALSE)+VLOOKUP($IP$97,$IP$66:$JH$91,3,FALSE)+VLOOKUP($IP$97,$IP$66:$JH$91,4,FALSE)+VLOOKUP($IP$97,$IP$66:$JH$91,5,FALSE)+VLOOKUP($IP$97,$IP$66:$JH$91,6,FALSE)),VLOOKUP($IP$97,$IP$66:$JH$91,9,FALSE)/(VLOOKUP($IP$97,$IP$66:$JH$91,8,FALSE)+VLOOKUP($IP$97,$IP$66:$JH$91,9,FALSE)+VLOOKUP($IP$97,$IP$66:$JH$91,10,FALSE)+VLOOKUP($IP$97,$IP$66:$JH$91,11,FALSE)+VLOOKUP($IP$97,$IP$66:$JH$91,12,FALSE)))</f>
        <v>0.31239144553215892</v>
      </c>
      <c r="IS100" s="182">
        <f>IF($IP$100=2009,VLOOKUP($IP$97,$IP$66:$JH$91,4,FALSE)/(VLOOKUP($IP$97,$IP$66:$JH$91,2,FALSE)+VLOOKUP($IP$97,$IP$66:$JH$91,3,FALSE)+VLOOKUP($IP$97,$IP$66:$JH$91,4,FALSE)+VLOOKUP($IP$97,$IP$66:$JH$91,5,FALSE)+VLOOKUP($IP$97,$IP$66:$JH$91,6,FALSE)),VLOOKUP($IP$97,$IP$66:$JH$91,10,FALSE)/(VLOOKUP($IP$97,$IP$66:$JH$91,8,FALSE)+VLOOKUP($IP$97,$IP$66:$JH$91,9,FALSE)+VLOOKUP($IP$97,$IP$66:$JH$91,10,FALSE)+VLOOKUP($IP$97,$IP$66:$JH$91,11,FALSE)+VLOOKUP($IP$97,$IP$66:$JH$91,12,FALSE)))</f>
        <v>0.21512255470210936</v>
      </c>
      <c r="IT100" s="182">
        <f>IF($IP$100=2009,VLOOKUP($IP$97,$IP$66:$JH$91,5,FALSE)/(VLOOKUP($IP$97,$IP$66:$JH$91,2,FALSE)+VLOOKUP($IP$97,$IP$66:$JH$91,3,FALSE)+VLOOKUP($IP$97,$IP$66:$JH$91,4,FALSE)+VLOOKUP($IP$97,$IP$66:$JH$91,5,FALSE)+VLOOKUP($IP$97,$IP$66:$JH$91,6,FALSE)),VLOOKUP($IP$97,$IP$66:$JH$91,11,FALSE)/(VLOOKUP($IP$97,$IP$66:$JH$91,8,FALSE)+VLOOKUP($IP$97,$IP$66:$JH$91,9,FALSE)+VLOOKUP($IP$97,$IP$66:$JH$91,10,FALSE)+VLOOKUP($IP$97,$IP$66:$JH$91,11,FALSE)+VLOOKUP($IP$97,$IP$66:$JH$91,12,FALSE)))</f>
        <v>0.1148006118390503</v>
      </c>
      <c r="IU100" s="183">
        <f>IF($IP$100=2009,VLOOKUP($IP$97,$IP$66:$JH$91,6,FALSE)/(VLOOKUP($IP$97,$IP$66:$JH$91,2,FALSE)+VLOOKUP($IP$97,$IP$66:$JH$91,3,FALSE)+VLOOKUP($IP$97,$IP$66:$JH$91,4,FALSE)+VLOOKUP($IP$97,$IP$66:$JH$91,5,FALSE)+VLOOKUP($IP$97,$IP$66:$JH$91,6,FALSE)),VLOOKUP($IP$97,$IP$66:$JH$91,12,FALSE)/(VLOOKUP($IP$97,$IP$66:$JH$91,8,FALSE)+VLOOKUP($IP$97,$IP$66:$JH$91,9,FALSE)+VLOOKUP($IP$97,$IP$66:$JH$91,10,FALSE)+VLOOKUP($IP$97,$IP$66:$JH$91,11,FALSE)+VLOOKUP($IP$97,$IP$66:$JH$91,12,FALSE)))</f>
        <v>0.19649805060357292</v>
      </c>
      <c r="JJ100" s="294">
        <f>INDEX('Aides traitements'!$E$4:$E$5,'Page de garde'!$G$4,1)</f>
        <v>2009</v>
      </c>
      <c r="JK100" s="764">
        <f>IF($JJ$100=2009,VLOOKUP($JJ$97,$JJ$66:$JV$91,2,FALSE)/(VLOOKUP($JJ$97,$JJ$66:$JV$91,2,FALSE)+VLOOKUP($JJ$97,$JJ$66:$JV$91,3,FALSE)+VLOOKUP($JJ$97,$JJ$66:$JV$91,4,FALSE)+VLOOKUP($JJ$97,$JJ$66:$JV$91,5,FALSE)),VLOOKUP($JJ$97,$JJ$66:$JV$91,6,FALSE)/(VLOOKUP($JJ$97,$JJ$66:$JV$91,6,FALSE)+VLOOKUP($JJ$97,$JJ$66:$JV$91,7,FALSE)+VLOOKUP($JJ$97,$JJ$66:$JV$91,8,FALSE)+VLOOKUP($JJ$97,$JJ$66:$JV$91,9,FALSE)))</f>
        <v>0.4380262746948681</v>
      </c>
      <c r="JL100" s="801">
        <f>IF($JJ$100=2009,VLOOKUP($JJ$97,$JJ$66:$JV$91,3,FALSE)/(VLOOKUP($JJ$97,$JJ$66:$JV$91,2,FALSE)+VLOOKUP($JJ$97,$JJ$66:$JV$91,3,FALSE)+VLOOKUP($JJ$97,$JJ$66:$JV$91,4,FALSE)+VLOOKUP($JJ$97,$JJ$66:$JV$91,5,FALSE)),VLOOKUP($JJ$97,$JJ$66:$JV$91,7,FALSE)/(VLOOKUP($JJ$97,$JJ$66:$JV$91,6,FALSE)+VLOOKUP($JJ$97,$JJ$66:$JV$91,7,FALSE)+VLOOKUP($JJ$97,$JJ$66:$JV$91,8,FALSE)+VLOOKUP($JJ$97,$JJ$66:$JV$91,9,FALSE)))</f>
        <v>0.53582134616266408</v>
      </c>
      <c r="JM100" s="801">
        <f>IF($JJ$100=2009,VLOOKUP($JJ$97,$JJ$66:$JV$91,4,FALSE)/(VLOOKUP($JJ$97,$JJ$66:$JV$91,2,FALSE)+VLOOKUP($JJ$97,$JJ$66:$JV$91,3,FALSE)+VLOOKUP($JJ$97,$JJ$66:$JV$91,4,FALSE)+VLOOKUP($JJ$97,$JJ$66:$JV$91,5,FALSE)),VLOOKUP($JJ$97,$JJ$66:$JV$91,8,FALSE)/(VLOOKUP($JJ$97,$JJ$66:$JV$91,6,FALSE)+VLOOKUP($JJ$97,$JJ$66:$JV$91,7,FALSE)+VLOOKUP($JJ$97,$JJ$66:$JV$91,8,FALSE)+VLOOKUP($JJ$97,$JJ$66:$JV$91,9,FALSE)))</f>
        <v>7.2497627828184827E-3</v>
      </c>
      <c r="JN100" s="804">
        <f>IF($JJ$100=2009,VLOOKUP($JJ$97,$JJ$66:$JV$91,5,FALSE)/(VLOOKUP($JJ$97,$JJ$66:$JV$91,2,FALSE)+VLOOKUP($JJ$97,$JJ$66:$JV$91,3,FALSE)+VLOOKUP($JJ$97,$JJ$66:$JV$91,4,FALSE)+VLOOKUP($JJ$97,$JJ$66:$JV$91,5,FALSE)),VLOOKUP($JJ$97,$JJ$66:$JV$91,9,FALSE)/(VLOOKUP($JJ$97,$JJ$66:$JV$91,6,FALSE)+VLOOKUP($JJ$97,$JJ$66:$JV$91,7,FALSE)+VLOOKUP($JJ$97,$JJ$66:$JV$91,8,FALSE)+VLOOKUP($JJ$97,$JJ$66:$JV$91,9,FALSE)))</f>
        <v>1.89026163596493E-2</v>
      </c>
      <c r="JX100" s="180" t="str">
        <f>INDEX('Aides traitements'!$A$5:$A$58,'Page de garde'!$C$4,1)</f>
        <v>Paul Bert</v>
      </c>
      <c r="JY100" s="764">
        <f>VLOOKUP($JX$100,$JX$66:$KB$91,2,FALSE)/(VLOOKUP($JX$100,$JX$66:$KB$91,2,FALSE)+VLOOKUP($JX$100,$JX$66:$KB$91,3,FALSE)+VLOOKUP($JX$100,$JX$66:$KB$91,4,FALSE)+VLOOKUP($JX$100,$JX$66:$KB$91,5,FALSE))</f>
        <v>0.25413069197688165</v>
      </c>
      <c r="JZ100" s="801">
        <f>VLOOKUP($JX$100,$JX$66:$KB$91,3,FALSE)/(VLOOKUP($JX$100,$JX$66:$KB$91,2,FALSE)+VLOOKUP($JX$100,$JX$66:$KB$91,3,FALSE)+VLOOKUP($JX$100,$JX$66:$KB$91,4,FALSE)+VLOOKUP($JX$100,$JX$66:$KB$91,5,FALSE))</f>
        <v>0.29829058100031808</v>
      </c>
      <c r="KA100" s="801">
        <f>VLOOKUP($JX$100,$JX$66:$KB$91,4,FALSE)/(VLOOKUP($JX$100,$JX$66:$KB$91,2,FALSE)+VLOOKUP($JX$100,$JX$66:$KB$91,3,FALSE)+VLOOKUP($JX$100,$JX$66:$KB$91,4,FALSE)+VLOOKUP($JX$100,$JX$66:$KB$91,5,FALSE))</f>
        <v>0.14877491267123841</v>
      </c>
      <c r="KB100" s="804">
        <f>VLOOKUP($JX$100,$JX$66:$KB$91,5,FALSE)/(VLOOKUP($JX$100,$JX$66:$KB$91,2,FALSE)+VLOOKUP($JX$100,$JX$66:$KB$91,3,FALSE)+VLOOKUP($JX$100,$JX$66:$KB$91,4,FALSE)+VLOOKUP($JX$100,$JX$66:$KB$91,5,FALSE))</f>
        <v>0.29880381435156184</v>
      </c>
      <c r="KD100" s="975" t="s">
        <v>375</v>
      </c>
      <c r="KE100" s="1175">
        <f>VLOOKUP($KD$97,$KD$91:$KV$97,2,FALSE)/(VLOOKUP($KD$97,$KD$91:$KV$97,2,FALSE)+VLOOKUP($KD$97,$KD$91:$KV$97,3,FALSE)+VLOOKUP($KD$97,$KD$91:$KV$97,4,FALSE)+VLOOKUP($KD$97,$KD$91:$KV$97,5,FALSE)+VLOOKUP($KD$97,$KD$91:$KV$97,6,FALSE)+VLOOKUP($KD$97,$KD$91:$KV$97,7,FALSE))</f>
        <v>0.14947643723953669</v>
      </c>
      <c r="KF100" s="1176">
        <f>VLOOKUP($KD$97,$KD$91:$KV$97,3,FALSE)/(VLOOKUP($KD$97,$KD$91:$KV$97,2,FALSE)+VLOOKUP($KD$97,$KD$91:$KV$97,3,FALSE)+VLOOKUP($KD$97,$KD$91:$KV$97,4,FALSE)+VLOOKUP($KD$97,$KD$91:$KV$97,5,FALSE)+VLOOKUP($KD$97,$KD$91:$KV$97,6,FALSE)+VLOOKUP($KD$97,$KD$91:$KV$97,7,FALSE))</f>
        <v>0.12557308286126892</v>
      </c>
      <c r="KG100" s="1176">
        <f>VLOOKUP($KD$97,$KD$91:$KV$97,4,FALSE)/(VLOOKUP($KD$97,$KD$91:$KV$97,2,FALSE)+VLOOKUP($KD$97,$KD$91:$KV$97,3,FALSE)+VLOOKUP($KD$97,$KD$91:$KV$97,4,FALSE)+VLOOKUP($KD$97,$KD$91:$KV$97,5,FALSE)+VLOOKUP($KD$97,$KD$91:$KV$97,6,FALSE)+VLOOKUP($KD$97,$KD$91:$KV$97,7,FALSE))</f>
        <v>0.14896333419217145</v>
      </c>
      <c r="KH100" s="1176">
        <f>VLOOKUP($KD$97,$KD$91:$KV$97,5,FALSE)/(VLOOKUP($KD$97,$KD$91:$KV$97,2,FALSE)+VLOOKUP($KD$97,$KD$91:$KV$97,3,FALSE)+VLOOKUP($KD$97,$KD$91:$KV$97,4,FALSE)+VLOOKUP($KD$97,$KD$91:$KV$97,5,FALSE)+VLOOKUP($KD$97,$KD$91:$KV$97,6,FALSE)+VLOOKUP($KD$97,$KD$91:$KV$97,7,FALSE))</f>
        <v>0.16577272161859652</v>
      </c>
      <c r="KI100" s="1176">
        <f>VLOOKUP($KD$97,$KD$91:$KV$97,6,FALSE)/(VLOOKUP($KD$97,$KD$91:$KV$97,2,FALSE)+VLOOKUP($KD$97,$KD$91:$KV$97,3,FALSE)+VLOOKUP($KD$97,$KD$91:$KV$97,4,FALSE)+VLOOKUP($KD$97,$KD$91:$KV$97,5,FALSE)+VLOOKUP($KD$97,$KD$91:$KV$97,6,FALSE)+VLOOKUP($KD$97,$KD$91:$KV$97,7,FALSE))</f>
        <v>0.19627410341887494</v>
      </c>
      <c r="KJ100" s="1177">
        <f>VLOOKUP($KD$97,$KD$91:$KV$97,7,FALSE)/(VLOOKUP($KD$97,$KD$91:$KV$97,2,FALSE)+VLOOKUP($KD$97,$KD$91:$KV$97,3,FALSE)+VLOOKUP($KD$97,$KD$91:$KV$97,4,FALSE)+VLOOKUP($KD$97,$KD$91:$KV$97,5,FALSE)+VLOOKUP($KD$97,$KD$91:$KV$97,6,FALSE)+VLOOKUP($KD$97,$KD$91:$KV$97,7,FALSE))</f>
        <v>0.21394032066955149</v>
      </c>
      <c r="KK100" s="977"/>
      <c r="KL100" s="602"/>
      <c r="KM100" s="602"/>
      <c r="KN100" s="602"/>
      <c r="KO100" s="602"/>
      <c r="KP100" s="602"/>
      <c r="KQ100" s="55"/>
      <c r="KR100" s="55"/>
      <c r="KS100" s="55"/>
      <c r="KT100" s="55"/>
      <c r="KU100" s="55"/>
      <c r="KX100" s="294">
        <f>INDEX('Aides traitements'!$E$4:$E$5,'Page de garde'!$G$4,1)</f>
        <v>2009</v>
      </c>
      <c r="KY100" s="764">
        <f>IF($KX$100=2009,VLOOKUP($KX$97,$KX$9:$LG$91,2,FALSE)/(VLOOKUP($KX$97,$KX$9:$LG$91,2,FALSE)+VLOOKUP($KX$97,$KX$9:$LG$91,3,FALSE)+VLOOKUP($KX$97,$KX$9:$LG$91,4,FALSE)),VLOOKUP($KX$97,$KX$9:$LG$91,5,FALSE)/(VLOOKUP($KX$97,$KX$9:$LG$91,5,FALSE)+VLOOKUP($KX$97,$KX$9:$LG$91,6,FALSE)+VLOOKUP($KX$97,$KX$9:$LG$91,7,FALSE)))</f>
        <v>0.24301852290050274</v>
      </c>
      <c r="KZ100" s="801">
        <f>IF($KX$100=2009,VLOOKUP($KX$97,$KX$9:$LG$91,3,FALSE)/(VLOOKUP($KX$97,$KX$9:$LG$91,2,FALSE)+VLOOKUP($KX$97,$KX$9:$LG$91,3,FALSE)+VLOOKUP($KX$97,$KX$9:$LG$91,4,FALSE)),VLOOKUP($KX$97,$KX$9:$LG$91,6,FALSE)/(VLOOKUP($KX$97,$KX$9:$LG$91,5,FALSE)+VLOOKUP($KX$97,$KX$9:$LG$91,6,FALSE)+VLOOKUP($KX$97,$KX$9:$LG$91,7,FALSE)))</f>
        <v>0.55711419877227919</v>
      </c>
      <c r="LA100" s="804">
        <f>IF($KX$100=2009,VLOOKUP($KX$97,$KX$9:$LG$91,4,FALSE)/(VLOOKUP($KX$97,$KX$9:$LG$91,2,FALSE)+VLOOKUP($KX$97,$KX$9:$LG$91,3,FALSE)+VLOOKUP($KX$97,$KX$9:$LG$91,4,FALSE)),VLOOKUP($KX$97,$KX$9:$LG$91,7,FALSE)/(VLOOKUP($KX$97,$KX$9:$LG$91,5,FALSE)+VLOOKUP($KX$97,$KX$9:$LG$91,6,FALSE)+VLOOKUP($KX$97,$KX$9:$LG$91,7,FALSE)))</f>
        <v>0.19986727832721798</v>
      </c>
      <c r="LB100" s="426"/>
      <c r="LC100" s="426"/>
      <c r="LI100" s="294">
        <f>INDEX('Aides traitements'!$E$4:$E$5,'Page de garde'!$G$4,1)</f>
        <v>2009</v>
      </c>
      <c r="LJ100" s="984"/>
      <c r="LK100" s="801">
        <f>IF($LI$100=2009,VLOOKUP($LI$97,$LI$9:$MA$91,3,FALSE)/(VLOOKUP($LI$97,$LI$9:$MA$91,2,FALSE)+VLOOKUP($LI$97,$LI$9:$MA$91,5,FALSE)+VLOOKUP($LI$97,$LI$9:$MA$91,6,FALSE)+VLOOKUP($LI$97,$LI$9:$MA$91,7,FALSE)),VLOOKUP($LI$97,$LI$9:$MA$91,9,FALSE)/(VLOOKUP($LI$97,$LI$9:$MA$91,8,FALSE)+VLOOKUP($LI$97,$LI$9:$MA$91,11,FALSE)+VLOOKUP($LI$97,$LI$9:$MA$91,12,FALSE)+VLOOKUP($LI$97,$LI$9:$MA$91,13,FALSE)))</f>
        <v>0.57268289970504138</v>
      </c>
      <c r="LL100" s="801">
        <f>IF($LI$100=2009,VLOOKUP($LI$97,$LI$9:$MA$91,4,FALSE)/(VLOOKUP($LI$97,$LI$9:$MA$91,2,FALSE)+VLOOKUP($LI$97,$LI$9:$MA$91,5,FALSE)+VLOOKUP($LI$97,$LI$9:$MA$91,6,FALSE)+VLOOKUP($LI$97,$LI$9:$MA$91,7,FALSE)),VLOOKUP($LI$97,$LI$9:$MA$91,10,FALSE)/(VLOOKUP($LI$97,$LI$9:$MA$91,8,FALSE)+VLOOKUP($LI$97,$LI$9:$MA$91,11,FALSE)+VLOOKUP($LI$97,$LI$9:$MA$91,12,FALSE)+VLOOKUP($LI$97,$LI$9:$MA$91,13,FALSE)))</f>
        <v>7.164599756732952E-2</v>
      </c>
      <c r="LM100" s="801">
        <f>IF($LI$100=2009,VLOOKUP($LI$97,$LI$9:$MA$91,5,FALSE)/(VLOOKUP($LI$97,$LI$9:$MA$91,2,FALSE)+VLOOKUP($LI$97,$LI$9:$MA$91,5,FALSE)+VLOOKUP($LI$97,$LI$9:$MA$91,6,FALSE)+VLOOKUP($LI$97,$LI$9:$MA$91,7,FALSE)),VLOOKUP($LI$97,$LI$9:$MA$91,11,FALSE)/(VLOOKUP($LI$97,$LI$9:$MA$91,8,FALSE)+VLOOKUP($LI$97,$LI$9:$MA$91,11,FALSE)+VLOOKUP($LI$97,$LI$9:$MA$91,12,FALSE)+VLOOKUP($LI$97,$LI$9:$MA$91,13,FALSE)))</f>
        <v>0.27900729336667518</v>
      </c>
      <c r="LN100" s="801">
        <f>IF($LI$100=2009,VLOOKUP($LI$97,$LI$9:$MA$91,6,FALSE)/(VLOOKUP($LI$97,$LI$9:$MA$91,2,FALSE)+VLOOKUP($LI$97,$LI$9:$MA$91,5,FALSE)+VLOOKUP($LI$97,$LI$9:$MA$91,6,FALSE)+VLOOKUP($LI$97,$LI$9:$MA$91,7,FALSE)),VLOOKUP($LI$97,$LI$9:$MA$91,12,FALSE)/(VLOOKUP($LI$97,$LI$9:$MA$91,8,FALSE)+VLOOKUP($LI$97,$LI$9:$MA$91,11,FALSE)+VLOOKUP($LI$97,$LI$9:$MA$91,12,FALSE)+VLOOKUP($LI$97,$LI$9:$MA$91,13,FALSE)))</f>
        <v>3.9626329464039829E-2</v>
      </c>
      <c r="LO100" s="804">
        <f>IF($LI$100=2009,VLOOKUP($LI$97,$LI$9:$MA$91,7,FALSE)/(VLOOKUP($LI$97,$LI$9:$MA$91,2,FALSE)+VLOOKUP($LI$97,$LI$9:$MA$91,5,FALSE)+VLOOKUP($LI$97,$LI$9:$MA$91,6,FALSE)+VLOOKUP($LI$97,$LI$9:$MA$91,7,FALSE)),VLOOKUP($LI$97,$LI$9:$MA$91,13,FALSE)/(VLOOKUP($LI$97,$LI$9:$MA$91,8,FALSE)+VLOOKUP($LI$97,$LI$9:$MA$91,11,FALSE)+VLOOKUP($LI$97,$LI$9:$MA$91,12,FALSE)+VLOOKUP($LI$97,$LI$9:$MA$91,13,FALSE)))</f>
        <v>3.7037480387748518E-2</v>
      </c>
      <c r="LW100" s="55"/>
      <c r="LX100" s="55"/>
      <c r="LY100" s="55"/>
      <c r="LZ100" s="55"/>
      <c r="MA100" s="55"/>
      <c r="MB100" s="55"/>
      <c r="MC100" s="294">
        <f>INDEX('Aides traitements'!$E$4:$E$5,'Page de garde'!$G$4,1)</f>
        <v>2009</v>
      </c>
      <c r="MD100" s="764">
        <f>IF($MC$100=2009,VLOOKUP($MC$97,$MC$9:$MU$91,2,FALSE)/(VLOOKUP($MC$97,$MC$9:$MU$91,2,FALSE)+VLOOKUP($MC$97,$MC$9:$MU$91,3,FALSE)+VLOOKUP($MC$97,$MC$9:$MU$91,4,FALSE)+VLOOKUP($MC$97,$MC$9:$MU$91,5,FALSE)+VLOOKUP($MC$97,$MC$9:$MU$91,6,FALSE)+VLOOKUP($MC$97,$MC$9:$MU$91,7,FALSE)),VLOOKUP($MC$97,$MC$9:$MU$91,8,FALSE)/(VLOOKUP($MC$97,$MC$9:$MU$91,8,FALSE)+VLOOKUP($MC$97,$MC$9:$MU$91,9,FALSE)+VLOOKUP($MC$97,$MC$9:$MU$91,10,FALSE)+VLOOKUP($MC$97,$MC$9:$MU$91,11,FALSE)+VLOOKUP($MC$97,$MC$9:$MU$91,12,FALSE)+VLOOKUP($MC$97,$MC$9:$MU$91,13,FALSE)))</f>
        <v>0</v>
      </c>
      <c r="ME100" s="801">
        <f>IF($MC$100=2009,VLOOKUP($MC$97,$MC$9:$MU$91,3,FALSE)/(VLOOKUP($MC$97,$MC$9:$MU$91,2,FALSE)+VLOOKUP($MC$97,$MC$9:$MU$91,3,FALSE)+VLOOKUP($MC$97,$MC$9:$MU$91,4,FALSE)+VLOOKUP($MC$97,$MC$9:$MU$91,5,FALSE)+VLOOKUP($MC$97,$MC$9:$MU$91,6,FALSE)+VLOOKUP($MC$97,$MC$9:$MU$91,7,FALSE)),VLOOKUP($MC$97,$MC$9:$MU$91,9,FALSE)/(VLOOKUP($MC$97,$MC$9:$MU$91,8,FALSE)+VLOOKUP($MC$97,$MC$9:$MU$91,9,FALSE)+VLOOKUP($MC$97,$MC$9:$MU$91,10,FALSE)+VLOOKUP($MC$97,$MC$9:$MU$91,11,FALSE)+VLOOKUP($MC$97,$MC$9:$MU$91,12,FALSE)+VLOOKUP($MC$97,$MC$9:$MU$91,13,FALSE)))</f>
        <v>4.0922562300115775E-2</v>
      </c>
      <c r="MF100" s="801">
        <f>IF($MC$100=2009,VLOOKUP($MC$97,$MC$9:$MU$91,4,FALSE)/(VLOOKUP($MC$97,$MC$9:$MU$91,2,FALSE)+VLOOKUP($MC$97,$MC$9:$MU$91,3,FALSE)+VLOOKUP($MC$97,$MC$9:$MU$91,4,FALSE)+VLOOKUP($MC$97,$MC$9:$MU$91,5,FALSE)+VLOOKUP($MC$97,$MC$9:$MU$91,6,FALSE)+VLOOKUP($MC$97,$MC$9:$MU$91,7,FALSE)),VLOOKUP($MC$97,$MC$9:$MU$91,10,FALSE)/(VLOOKUP($MC$97,$MC$9:$MU$91,8,FALSE)+VLOOKUP($MC$97,$MC$9:$MU$91,9,FALSE)+VLOOKUP($MC$97,$MC$9:$MU$91,10,FALSE)+VLOOKUP($MC$97,$MC$9:$MU$91,11,FALSE)+VLOOKUP($MC$97,$MC$9:$MU$91,12,FALSE)+VLOOKUP($MC$97,$MC$9:$MU$91,13,FALSE)))</f>
        <v>0.27236225525341018</v>
      </c>
      <c r="MG100" s="801">
        <f>IF($MC$100=2009,VLOOKUP($MC$97,$MC$9:$MU$91,5,FALSE)/(VLOOKUP($MC$97,$MC$9:$MU$91,2,FALSE)+VLOOKUP($MC$97,$MC$9:$MU$91,3,FALSE)+VLOOKUP($MC$97,$MC$9:$MU$91,4,FALSE)+VLOOKUP($MC$97,$MC$9:$MU$91,5,FALSE)+VLOOKUP($MC$97,$MC$9:$MU$91,6,FALSE)+VLOOKUP($MC$97,$MC$9:$MU$91,7,FALSE)),VLOOKUP($MC$97,$MC$9:$MU$91,11,FALSE)/(VLOOKUP($MC$97,$MC$9:$MU$91,8,FALSE)+VLOOKUP($MC$97,$MC$9:$MU$91,9,FALSE)+VLOOKUP($MC$97,$MC$9:$MU$91,10,FALSE)+VLOOKUP($MC$97,$MC$9:$MU$91,11,FALSE)+VLOOKUP($MC$97,$MC$9:$MU$91,12,FALSE)+VLOOKUP($MC$97,$MC$9:$MU$91,13,FALSE)))</f>
        <v>0.3434178590634766</v>
      </c>
      <c r="MH100" s="801">
        <f>IF($MC$100=2009,VLOOKUP($MC$97,$MC$9:$MU$91,6,FALSE)/(VLOOKUP($MC$97,$MC$9:$MU$91,2,FALSE)+VLOOKUP($MC$97,$MC$9:$MU$91,3,FALSE)+VLOOKUP($MC$97,$MC$9:$MU$91,4,FALSE)+VLOOKUP($MC$97,$MC$9:$MU$91,5,FALSE)+VLOOKUP($MC$97,$MC$9:$MU$91,6,FALSE)+VLOOKUP($MC$97,$MC$9:$MU$91,7,FALSE)),VLOOKUP($MC$97,$MC$9:$MU$91,12,FALSE)/(VLOOKUP($MC$97,$MC$9:$MU$91,8,FALSE)+VLOOKUP($MC$97,$MC$9:$MU$91,9,FALSE)+VLOOKUP($MC$97,$MC$9:$MU$91,10,FALSE)+VLOOKUP($MC$97,$MC$9:$MU$91,11,FALSE)+VLOOKUP($MC$97,$MC$9:$MU$91,12,FALSE)+VLOOKUP($MC$97,$MC$9:$MU$91,13,FALSE)))</f>
        <v>0.16903320329910393</v>
      </c>
      <c r="MI100" s="804">
        <f>IF($MC$100=2009,VLOOKUP($MC$97,$MC$9:$MU$91,7,FALSE)/(VLOOKUP($MC$97,$MC$9:$MU$91,2,FALSE)+VLOOKUP($MC$97,$MC$9:$MU$91,3,FALSE)+VLOOKUP($MC$97,$MC$9:$MU$91,4,FALSE)+VLOOKUP($MC$97,$MC$9:$MU$91,5,FALSE)+VLOOKUP($MC$97,$MC$9:$MU$91,6,FALSE)+VLOOKUP($MC$97,$MC$9:$MU$91,7,FALSE)),VLOOKUP($MC$97,$MC$9:$MU$91,13,FALSE)/(VLOOKUP($MC$97,$MC$9:$MU$91,8,FALSE)+VLOOKUP($MC$97,$MC$9:$MU$91,9,FALSE)+VLOOKUP($MC$97,$MC$9:$MU$91,10,FALSE)+VLOOKUP($MC$97,$MC$9:$MU$91,11,FALSE)+VLOOKUP($MC$97,$MC$9:$MU$91,12,FALSE)+VLOOKUP($MC$97,$MC$9:$MU$91,13,FALSE)))</f>
        <v>0.17426412008389347</v>
      </c>
      <c r="MO100" s="55"/>
      <c r="MP100" s="55"/>
      <c r="MQ100" s="55"/>
      <c r="MR100" s="55"/>
      <c r="MS100" s="55"/>
      <c r="MT100" s="55"/>
      <c r="MU100" s="55"/>
      <c r="MV100" s="55"/>
      <c r="MW100" s="810"/>
      <c r="MX100" s="409" t="s">
        <v>66</v>
      </c>
      <c r="MY100" s="410" t="s">
        <v>67</v>
      </c>
      <c r="MZ100" s="409" t="s">
        <v>66</v>
      </c>
      <c r="NA100" s="410" t="s">
        <v>67</v>
      </c>
      <c r="NB100" s="811"/>
      <c r="OQ100" s="55"/>
      <c r="OR100" s="55"/>
      <c r="OS100" s="55"/>
      <c r="OT100" s="958">
        <f>INDEX('Aides traitements'!$E$4:$E$5,'Page de garde'!$G$4,1)</f>
        <v>2009</v>
      </c>
      <c r="OU100" s="764">
        <f>IF($OT$100=2009,VLOOKUP($OT$97,$OT$9:$PF$91,2,FALSE)/(VLOOKUP($OT$97,$OT$9:$PF$91,2,FALSE)+VLOOKUP($OT$97,$OT$9:$PF$91,3,FALSE)+VLOOKUP($OT$97,$OT$9:$PF$91,4,FALSE)+VLOOKUP($OT$97,$OT$9:$PF$91,5,FALSE)),VLOOKUP($OT$97,$OT$9:$PF$91,6,FALSE)/(VLOOKUP($OT$97,$OT$9:$PF$91,6,FALSE)+VLOOKUP($OT$97,$OT$9:$PF$91,7,FALSE)+VLOOKUP($OT$97,$OT$9:$PF$91,8,FALSE)+VLOOKUP($OT$97,$OT$9:$PF$91,9,FALSE)))</f>
        <v>0.2819537449507511</v>
      </c>
      <c r="OV100" s="801">
        <f>IF($OT$100=2009,VLOOKUP($OT$97,$OT$9:$PF$91,3,FALSE)/(VLOOKUP($OT$97,$OT$9:$PF$91,2,FALSE)+VLOOKUP($OT$97,$OT$9:$PF$91,3,FALSE)+VLOOKUP($OT$97,$OT$9:$PF$91,4,FALSE)+VLOOKUP($OT$97,$OT$9:$PF$91,5,FALSE)),VLOOKUP($OT$97,$OT$9:$PF$91,7,FALSE)/(VLOOKUP($OT$97,$OT$9:$PF$91,6,FALSE)+VLOOKUP($OT$97,$OT$9:$PF$91,7,FALSE)+VLOOKUP($OT$97,$OT$9:$PF$91,8,FALSE)+VLOOKUP($OT$97,$OT$9:$PF$91,9,FALSE)))</f>
        <v>0.14137354094621207</v>
      </c>
      <c r="OW100" s="801">
        <f>IF($OT$100=2009,VLOOKUP($OT$97,$OT$9:$PF$91,4,FALSE)/(VLOOKUP($OT$97,$OT$9:$PF$91,2,FALSE)+VLOOKUP($OT$97,$OT$9:$PF$91,3,FALSE)+VLOOKUP($OT$97,$OT$9:$PF$91,4,FALSE)+VLOOKUP($OT$97,$OT$9:$PF$91,5,FALSE)),VLOOKUP($OT$97,$OT$9:$PF$91,8,FALSE)/(VLOOKUP($OT$97,$OT$9:$PF$91,6,FALSE)+VLOOKUP($OT$97,$OT$9:$PF$91,7,FALSE)+VLOOKUP($OT$97,$OT$9:$PF$91,8,FALSE)+VLOOKUP($OT$97,$OT$9:$PF$91,9,FALSE)))</f>
        <v>0.1546085764866072</v>
      </c>
      <c r="OX100" s="804">
        <f>IF($OT$100=2009,VLOOKUP($OT$97,$OT$9:$PF$91,5,FALSE)/(VLOOKUP($OT$97,$OT$9:$PF$91,2,FALSE)+VLOOKUP($OT$97,$OT$9:$PF$91,3,FALSE)+VLOOKUP($OT$97,$OT$9:$PF$91,4,FALSE)+VLOOKUP($OT$97,$OT$9:$PF$91,5,FALSE)),VLOOKUP($OT$97,$OT$9:$PF$91,9,FALSE)/(VLOOKUP($OT$97,$OT$9:$PF$91,6,FALSE)+VLOOKUP($OT$97,$OT$9:$PF$91,7,FALSE)+VLOOKUP($OT$97,$OT$9:$PF$91,8,FALSE)+VLOOKUP($OT$97,$OT$9:$PF$91,9,FALSE)))</f>
        <v>0.42206413761642964</v>
      </c>
      <c r="PE100" s="55"/>
      <c r="PF100" s="55"/>
      <c r="PG100" s="55"/>
      <c r="PH100" s="294" t="s">
        <v>434</v>
      </c>
      <c r="PI100" s="764">
        <f>VLOOKUP($PH$97,$PH$9:$PP$91,2,FALSE)/(VLOOKUP($PH$97,$PH$9:$PP$91,2,FALSE)+VLOOKUP($PH$97,$PH$9:$PP$91,3,FALSE)+VLOOKUP($PH$97,$PH$9:$PP$91,4,FALSE)+VLOOKUP($PH$97,$PH$9:$PP$91,5,FALSE))</f>
        <v>0.14125390503853891</v>
      </c>
      <c r="PJ100" s="801">
        <f>VLOOKUP($PH$97,$PH$9:$PP$91,3,FALSE)/(VLOOKUP($PH$97,$PH$9:$PP$91,2,FALSE)+VLOOKUP($PH$97,$PH$9:$PP$91,3,FALSE)+VLOOKUP($PH$97,$PH$9:$PP$91,4,FALSE)+VLOOKUP($PH$97,$PH$9:$PP$91,5,FALSE))</f>
        <v>0.16082122691766557</v>
      </c>
      <c r="PK100" s="801">
        <f>VLOOKUP($PH$97,$PH$9:$PP$91,4,FALSE)/(VLOOKUP($PH$97,$PH$9:$PP$91,2,FALSE)+VLOOKUP($PH$97,$PH$9:$PP$91,3,FALSE)+VLOOKUP($PH$97,$PH$9:$PP$91,4,FALSE)+VLOOKUP($PH$97,$PH$9:$PP$91,5,FALSE))</f>
        <v>0.18202585811514135</v>
      </c>
      <c r="PL100" s="804">
        <f>VLOOKUP($PH$97,$PH$9:$PP$91,5,FALSE)/(VLOOKUP($PH$97,$PH$9:$PP$91,2,FALSE)+VLOOKUP($PH$97,$PH$9:$PP$91,3,FALSE)+VLOOKUP($PH$97,$PH$9:$PP$91,4,FALSE)+VLOOKUP($PH$97,$PH$9:$PP$91,5,FALSE))</f>
        <v>0.51589900992865412</v>
      </c>
      <c r="PR100" s="405" t="str">
        <f>INDEX('Aides traitements'!$A$5:$A$58,'Page de garde'!$C$4,1)</f>
        <v>Paul Bert</v>
      </c>
      <c r="PS100" s="679">
        <f>VLOOKUP($PR$97,$PR$9:$PX$91,2,FALSE)/(VLOOKUP($PR$97,$PR$9:$PX$91,2,FALSE)+VLOOKUP($PR$97,$PR$9:$PX$91,3,FALSE)+VLOOKUP($PR$97,$PR$9:$PX$91,4,FALSE)+VLOOKUP($PR$97,$PR$9:$PX$91,5,FALSE)+VLOOKUP($PR$97,$PR$9:$PX$91,6,FALSE)+VLOOKUP($PR$97,$PR$9:$PX$91,7,FALSE))</f>
        <v>4.2507668433688556E-2</v>
      </c>
      <c r="PT100" s="579">
        <f>VLOOKUP($PR$97,$PR$9:$PX$91,3,FALSE)/(VLOOKUP($PR$97,$PR$9:$PX$91,2,FALSE)+VLOOKUP($PR$97,$PR$9:$PX$91,3,FALSE)+VLOOKUP($PR$97,$PR$9:$PX$91,4,FALSE)+VLOOKUP($PR$97,$PR$9:$PX$91,5,FALSE)+VLOOKUP($PR$97,$PR$9:$PX$91,6,FALSE)+VLOOKUP($PR$97,$PR$9:$PX$91,7,FALSE))</f>
        <v>7.2937563284646997E-2</v>
      </c>
      <c r="PU100" s="579">
        <f>VLOOKUP($PR$97,$PR$9:$PX$91,4,FALSE)/(VLOOKUP($PR$97,$PR$9:$PX$91,2,FALSE)+VLOOKUP($PR$97,$PR$9:$PX$91,3,FALSE)+VLOOKUP($PR$97,$PR$9:$PX$91,4,FALSE)+VLOOKUP($PR$97,$PR$9:$PX$91,5,FALSE)+VLOOKUP($PR$97,$PR$9:$PX$91,6,FALSE)+VLOOKUP($PR$97,$PR$9:$PX$91,7,FALSE))</f>
        <v>0.11048498566164333</v>
      </c>
      <c r="PV100" s="579">
        <f>VLOOKUP($PR$97,$PR$9:$PX$91,5,FALSE)/(VLOOKUP($PR$97,$PR$9:$PX$91,2,FALSE)+VLOOKUP($PR$97,$PR$9:$PX$91,3,FALSE)+VLOOKUP($PR$97,$PR$9:$PX$91,4,FALSE)+VLOOKUP($PR$97,$PR$9:$PX$91,5,FALSE)+VLOOKUP($PR$97,$PR$9:$PX$91,6,FALSE)+VLOOKUP($PR$97,$PR$9:$PX$91,7,FALSE))</f>
        <v>1.7327006551634088E-2</v>
      </c>
      <c r="PW100" s="579">
        <f>VLOOKUP($PR$97,$PR$9:$PX$91,6,FALSE)/(VLOOKUP($PR$97,$PR$9:$PX$91,2,FALSE)+VLOOKUP($PR$97,$PR$9:$PX$91,3,FALSE)+VLOOKUP($PR$97,$PR$9:$PX$91,4,FALSE)+VLOOKUP($PR$97,$PR$9:$PX$91,5,FALSE)+VLOOKUP($PR$97,$PR$9:$PX$91,6,FALSE)+VLOOKUP($PR$97,$PR$9:$PX$91,7,FALSE))</f>
        <v>0.56782722936084584</v>
      </c>
      <c r="PX100" s="680">
        <f>VLOOKUP($PR$97,$PR$9:$PX$91,7,FALSE)/(VLOOKUP($PR$97,$PR$9:$PX$91,2,FALSE)+VLOOKUP($PR$97,$PR$9:$PX$91,3,FALSE)+VLOOKUP($PR$97,$PR$9:$PX$91,4,FALSE)+VLOOKUP($PR$97,$PR$9:$PX$91,5,FALSE)+VLOOKUP($PR$97,$PR$9:$PX$91,6,FALSE)+VLOOKUP($PR$97,$PR$9:$PX$91,7,FALSE))</f>
        <v>0.18891554670754121</v>
      </c>
      <c r="PY100" s="426"/>
      <c r="PZ100" s="405" t="str">
        <f>INDEX('Aides traitements'!$A$5:$A$58,'Page de garde'!$C$4,1)</f>
        <v>Paul Bert</v>
      </c>
      <c r="QA100" s="679">
        <f>VLOOKUP($PZ$97,$PZ$9:$QF$91,2,FALSE)/(VLOOKUP($PZ$97,$PZ$9:$QF$91,2,FALSE)+VLOOKUP($PZ$97,$PZ$9:$QF$91,3,FALSE))</f>
        <v>0.57575557938513089</v>
      </c>
      <c r="QB100" s="579">
        <f>VLOOKUP($PZ$97,$PZ$9:$QF$91,3,FALSE)/(VLOOKUP($PZ$97,$PZ$9:$QF$91,2,FALSE)+VLOOKUP($PZ$97,$PZ$9:$QF$91,3,FALSE))</f>
        <v>0.424244420614869</v>
      </c>
      <c r="QC100" s="579">
        <f>VLOOKUP($PZ$97,$PZ$9:$QF$91,4,FALSE)/(VLOOKUP($PZ$97,$PZ$9:$QF$91,3,FALSE))</f>
        <v>0.71980175683068359</v>
      </c>
      <c r="QD100" s="579">
        <f>VLOOKUP($PZ$97,$PZ$9:$QF$91,5,FALSE)/(VLOOKUP($PZ$97,$PZ$9:$QF$91,3,FALSE))</f>
        <v>0.1211764464573566</v>
      </c>
      <c r="QE100" s="579">
        <f>VLOOKUP($PZ$97,$PZ$9:$QF$91,6,FALSE)/(VLOOKUP($PZ$97,$PZ$9:$QF$91,3,FALSE))</f>
        <v>0.14736547653637849</v>
      </c>
      <c r="QF100" s="680">
        <f>VLOOKUP($PZ$97,$PZ$9:$QF$91,7,FALSE)/(VLOOKUP($PZ$97,$PZ$9:$QF$91,3,FALSE))</f>
        <v>1.1656320175581162E-2</v>
      </c>
    </row>
    <row r="101" spans="1:448" ht="28.2" customHeight="1">
      <c r="B101" s="55"/>
      <c r="C101" s="55"/>
      <c r="D101" s="55"/>
      <c r="E101" s="55"/>
      <c r="X101" s="63"/>
      <c r="Y101" s="97"/>
      <c r="Z101" s="97"/>
      <c r="AA101" s="97"/>
      <c r="AB101" s="97"/>
      <c r="AJ101" s="63"/>
      <c r="AM101" s="696"/>
      <c r="AN101" s="295">
        <f>'Aides traitements'!$I$11</f>
        <v>2020</v>
      </c>
      <c r="AO101" s="868">
        <f>VLOOKUP($AN$97,$AN$66:$BL$91,18,FALSE)/(VLOOKUP($AN$97,$AN$66:$BL$91,18,FALSE)+VLOOKUP($AN$97,$AN$66:$BL$91,19,FALSE)+VLOOKUP($AN$97,$AN$66:$BL$91,20,FALSE)+VLOOKUP($AN$97,$AN$66:$BL$91,21,FALSE)+VLOOKUP($AN$97,$AN$66:$BL$91,22,FALSE)+VLOOKUP($AN$97,$AN$66:$BL$91,23,FALSE)+VLOOKUP($AN$97,$AN$66:$BL$91,24,FALSE)+VLOOKUP($AN$97,$AN$66:$BL$91,25,FALSE))</f>
        <v>0</v>
      </c>
      <c r="AP101" s="868">
        <f>VLOOKUP($AN$97,$AN$66:$BL$91,19,FALSE)/(VLOOKUP($AN$97,$AN$66:$BL$91,18,FALSE)+VLOOKUP($AN$97,$AN$66:$BL$91,19,FALSE)+VLOOKUP($AN$97,$AN$66:$BL$91,20,FALSE)+VLOOKUP($AN$97,$AN$66:$BL$91,21,FALSE)+VLOOKUP($AN$97,$AN$66:$BL$91,22,FALSE)+VLOOKUP($AN$97,$AN$66:$BL$91,23,FALSE)+VLOOKUP($AN$97,$AN$66:$BL$91,24,FALSE)+VLOOKUP($AN$97,$AN$66:$BL$91,25,FALSE))</f>
        <v>2.8800514665406059E-2</v>
      </c>
      <c r="AQ101" s="868">
        <f>VLOOKUP($AN$97,$AN$66:$BL$91,20,FALSE)/(VLOOKUP($AN$97,$AN$66:$BL$91,18,FALSE)+VLOOKUP($AN$97,$AN$66:$BL$91,19,FALSE)+VLOOKUP($AN$97,$AN$66:$BL$91,20,FALSE)+VLOOKUP($AN$97,$AN$66:$BL$91,21,FALSE)+VLOOKUP($AN$97,$AN$66:$BL$91,22,FALSE)+VLOOKUP($AN$97,$AN$66:$BL$91,23,FALSE)+VLOOKUP($AN$97,$AN$66:$BL$91,24,FALSE)+VLOOKUP($AN$97,$AN$66:$BL$91,25,FALSE))</f>
        <v>0.13565589136647963</v>
      </c>
      <c r="AR101" s="868">
        <f>VLOOKUP($AN$97,$AN$66:$BL$91,21,FALSE)/(VLOOKUP($AN$97,$AN$66:$BL$91,18,FALSE)+VLOOKUP($AN$97,$AN$66:$BL$91,19,FALSE)+VLOOKUP($AN$97,$AN$66:$BL$91,20,FALSE)+VLOOKUP($AN$97,$AN$66:$BL$91,21,FALSE)+VLOOKUP($AN$97,$AN$66:$BL$91,22,FALSE)+VLOOKUP($AN$97,$AN$66:$BL$91,23,FALSE)+VLOOKUP($AN$97,$AN$66:$BL$91,24,FALSE)+VLOOKUP($AN$97,$AN$66:$BL$91,25,FALSE))</f>
        <v>0.15982217163429294</v>
      </c>
      <c r="AS101" s="868">
        <f>VLOOKUP($AN$97,$AN$66:$BL$91,22,FALSE)/(VLOOKUP($AN$97,$AN$66:$BL$91,18,FALSE)+VLOOKUP($AN$97,$AN$66:$BL$91,19,FALSE)+VLOOKUP($AN$97,$AN$66:$BL$91,20,FALSE)+VLOOKUP($AN$97,$AN$66:$BL$91,21,FALSE)+VLOOKUP($AN$97,$AN$66:$BL$91,22,FALSE)+VLOOKUP($AN$97,$AN$66:$BL$91,23,FALSE)+VLOOKUP($AN$97,$AN$66:$BL$91,24,FALSE)+VLOOKUP($AN$97,$AN$66:$BL$91,25,FALSE))</f>
        <v>0.11749165037740665</v>
      </c>
      <c r="AT101" s="868">
        <f>VLOOKUP($AN$97,$AN$66:$BL$91,23,FALSE)/(VLOOKUP($AN$97,$AN$66:$BL$91,18,FALSE)+VLOOKUP($AN$97,$AN$66:$BL$91,19,FALSE)+VLOOKUP($AN$97,$AN$66:$BL$91,20,FALSE)+VLOOKUP($AN$97,$AN$66:$BL$91,21,FALSE)+VLOOKUP($AN$97,$AN$66:$BL$91,22,FALSE)+VLOOKUP($AN$97,$AN$66:$BL$91,23,FALSE)+VLOOKUP($AN$97,$AN$66:$BL$91,24,FALSE)+VLOOKUP($AN$97,$AN$66:$BL$91,25,FALSE))</f>
        <v>6.2389513730057897E-2</v>
      </c>
      <c r="AU101" s="868">
        <f>VLOOKUP($AN$97,$AN$66:$BL$91,24,FALSE)/(VLOOKUP($AN$97,$AN$66:$BL$91,18,FALSE)+VLOOKUP($AN$97,$AN$66:$BL$91,19,FALSE)+VLOOKUP($AN$97,$AN$66:$BL$91,20,FALSE)+VLOOKUP($AN$97,$AN$66:$BL$91,21,FALSE)+VLOOKUP($AN$97,$AN$66:$BL$91,22,FALSE)+VLOOKUP($AN$97,$AN$66:$BL$91,23,FALSE)+VLOOKUP($AN$97,$AN$66:$BL$91,24,FALSE)+VLOOKUP($AN$97,$AN$66:$BL$91,25,FALSE))</f>
        <v>0.27113977160155783</v>
      </c>
      <c r="AV101" s="868">
        <f>VLOOKUP($AN$97,$AN$66:$BL$91,25,FALSE)/(VLOOKUP($AN$97,$AN$66:$BL$91,18,FALSE)+VLOOKUP($AN$97,$AN$66:$BL$91,19,FALSE)+VLOOKUP($AN$97,$AN$66:$BL$91,20,FALSE)+VLOOKUP($AN$97,$AN$66:$BL$91,21,FALSE)+VLOOKUP($AN$97,$AN$66:$BL$91,22,FALSE)+VLOOKUP($AN$97,$AN$66:$BL$91,23,FALSE)+VLOOKUP($AN$97,$AN$66:$BL$91,24,FALSE)+VLOOKUP($AN$97,$AN$66:$BL$91,25,FALSE))</f>
        <v>0.22470048662479911</v>
      </c>
      <c r="AW101" s="865"/>
      <c r="AX101" s="866"/>
      <c r="AY101" s="866"/>
      <c r="AZ101" s="866"/>
      <c r="BA101" s="866"/>
      <c r="BB101" s="866"/>
      <c r="BC101" s="866"/>
      <c r="BD101" s="866"/>
      <c r="BN101" s="295">
        <f>'Aides traitements'!$I$11</f>
        <v>2020</v>
      </c>
      <c r="BO101" s="181">
        <f>VLOOKUP($BN$97,$BN$9:$CF$92,14,FALSE)/(VLOOKUP($BN$97,$BN$9:$CF$92,14,FALSE)+VLOOKUP($BN$97,$BN$9:$CF$92,15,FALSE)+VLOOKUP($BN$97,$BN$9:$CF$92,16,FALSE)+VLOOKUP($BN$97,$BN$9:$CF$92,17,FALSE)+VLOOKUP($BN$97,$BN$9:$CF$92,18,FALSE)+VLOOKUP($BN$97,$BN$9:$CF$92,19,FALSE))</f>
        <v>0.11298684869204208</v>
      </c>
      <c r="BP101" s="182">
        <f>VLOOKUP($BN$97,$BN$9:$CF$92,15,FALSE)/(VLOOKUP($BN$97,$BN$9:$CF$92,14,FALSE)+VLOOKUP($BN$97,$BN$9:$CF$92,15,FALSE)+VLOOKUP($BN$97,$BN$9:$CF$92,16,FALSE)+VLOOKUP($BN$97,$BN$9:$CF$92,17,FALSE)+VLOOKUP($BN$97,$BN$9:$CF$92,18,FALSE)+VLOOKUP($BN$97,$BN$9:$CF$92,19,FALSE))</f>
        <v>0.33331884383953858</v>
      </c>
      <c r="BQ101" s="182">
        <f>VLOOKUP($BN$97,$BN$9:$CF$92,16,FALSE)/(VLOOKUP($BN$97,$BN$9:$CF$92,14,FALSE)+VLOOKUP($BN$97,$BN$9:$CF$92,15,FALSE)+VLOOKUP($BN$97,$BN$9:$CF$92,16,FALSE)+VLOOKUP($BN$97,$BN$9:$CF$92,17,FALSE)+VLOOKUP($BN$97,$BN$9:$CF$92,18,FALSE)+VLOOKUP($BN$97,$BN$9:$CF$92,19,FALSE))</f>
        <v>0.16361211846914547</v>
      </c>
      <c r="BR101" s="182">
        <f>VLOOKUP($BN$97,$BN$9:$CF$92,17,FALSE)/(VLOOKUP($BN$97,$BN$9:$CF$92,14,FALSE)+VLOOKUP($BN$97,$BN$9:$CF$92,15,FALSE)+VLOOKUP($BN$97,$BN$9:$CF$92,16,FALSE)+VLOOKUP($BN$97,$BN$9:$CF$92,17,FALSE)+VLOOKUP($BN$97,$BN$9:$CF$92,18,FALSE)+VLOOKUP($BN$97,$BN$9:$CF$92,19,FALSE))</f>
        <v>0.12026267646344364</v>
      </c>
      <c r="BS101" s="182">
        <f>VLOOKUP($BN$97,$BN$9:$CF$92,18,FALSE)/(VLOOKUP($BN$97,$BN$9:$CF$92,14,FALSE)+VLOOKUP($BN$97,$BN$9:$CF$92,15,FALSE)+VLOOKUP($BN$97,$BN$9:$CF$92,16,FALSE)+VLOOKUP($BN$97,$BN$9:$CF$92,17,FALSE)+VLOOKUP($BN$97,$BN$9:$CF$92,18,FALSE)+VLOOKUP($BN$97,$BN$9:$CF$92,19,FALSE))</f>
        <v>0.12695711340723906</v>
      </c>
      <c r="BT101" s="183">
        <f>VLOOKUP($BN$97,$BN$9:$CF$92,19,FALSE)/(VLOOKUP($BN$97,$BN$9:$CF$92,14,FALSE)+VLOOKUP($BN$97,$BN$9:$CF$92,15,FALSE)+VLOOKUP($BN$97,$BN$9:$CF$92,16,FALSE)+VLOOKUP($BN$97,$BN$9:$CF$92,17,FALSE)+VLOOKUP($BN$97,$BN$9:$CF$92,18,FALSE)+VLOOKUP($BN$97,$BN$9:$CF$92,19,FALSE))</f>
        <v>0.14286239912859119</v>
      </c>
      <c r="CS101" s="426"/>
      <c r="CT101" s="426"/>
      <c r="CU101" s="426"/>
      <c r="CV101" s="426"/>
      <c r="CW101" s="426"/>
      <c r="DG101" s="55"/>
      <c r="DH101" s="55"/>
      <c r="DI101" s="55"/>
      <c r="DJ101" s="55"/>
      <c r="DO101" s="63"/>
      <c r="DR101" s="63"/>
      <c r="DS101" s="63"/>
      <c r="DU101" s="63"/>
      <c r="DZ101" s="63"/>
      <c r="EE101" s="295">
        <f>'Aides traitements'!$I$11</f>
        <v>2020</v>
      </c>
      <c r="EF101" s="801">
        <f>VLOOKUP($EE$97,'Base de données'!$EE$66:$ET$91,12,FALSE)/(VLOOKUP($EE$97,'Base de données'!$EE$66:$ET$91,12,FALSE)+VLOOKUP($EE$97,'Base de données'!$EE$66:$ET$91,13,FALSE)+VLOOKUP($EE$97,'Base de données'!$EE$66:$ET$91,14,FALSE)+VLOOKUP($EE$97,'Base de données'!$EE$66:$ET$91,15,FALSE)+VLOOKUP($EE$97,'Base de données'!$EE$66:$ET$91,16,FALSE))</f>
        <v>0.59627732857440696</v>
      </c>
      <c r="EG101" s="801">
        <f>VLOOKUP($EE$97,'Base de données'!$EE$66:$ET$91,13,FALSE)/(VLOOKUP($EE$97,'Base de données'!$EE$66:$ET$91,12,FALSE)+VLOOKUP($EE$97,'Base de données'!$EE$66:$ET$91,13,FALSE)+VLOOKUP($EE$97,'Base de données'!$EE$66:$ET$91,14,FALSE)+VLOOKUP($EE$97,'Base de données'!$EE$66:$ET$91,15,FALSE)+VLOOKUP($EE$97,'Base de données'!$EE$66:$ET$91,16,FALSE))</f>
        <v>2.8420911920597924E-2</v>
      </c>
      <c r="EH101" s="801">
        <f>VLOOKUP($EE$97,'Base de données'!$EE$66:$ET$91,14,FALSE)/(VLOOKUP($EE$97,'Base de données'!$EE$66:$ET$91,12,FALSE)+VLOOKUP($EE$97,'Base de données'!$EE$66:$ET$91,13,FALSE)+VLOOKUP($EE$97,'Base de données'!$EE$66:$ET$91,14,FALSE)+VLOOKUP($EE$97,'Base de données'!$EE$66:$ET$91,15,FALSE)+VLOOKUP($EE$97,'Base de données'!$EE$66:$ET$91,16,FALSE))</f>
        <v>0.18864445057598106</v>
      </c>
      <c r="EI101" s="801">
        <f>VLOOKUP($EE$97,'Base de données'!$EE$66:$ET$91,15,FALSE)/(VLOOKUP($EE$97,'Base de données'!$EE$66:$ET$91,12,FALSE)+VLOOKUP($EE$97,'Base de données'!$EE$66:$ET$91,13,FALSE)+VLOOKUP($EE$97,'Base de données'!$EE$66:$ET$91,14,FALSE)+VLOOKUP($EE$97,'Base de données'!$EE$66:$ET$91,15,FALSE)+VLOOKUP($EE$97,'Base de données'!$EE$66:$ET$91,16,FALSE))</f>
        <v>0.12739506060427586</v>
      </c>
      <c r="EJ101" s="804">
        <f>VLOOKUP($EE$97,'Base de données'!$EE$66:$ET$91,16,FALSE)/(VLOOKUP($EE$97,'Base de données'!$EE$66:$ET$91,12,FALSE)+VLOOKUP($EE$97,'Base de données'!$EE$66:$ET$91,13,FALSE)+VLOOKUP($EE$97,'Base de données'!$EE$66:$ET$91,14,FALSE)+VLOOKUP($EE$97,'Base de données'!$EE$66:$ET$91,15,FALSE)+VLOOKUP($EE$97,'Base de données'!$EE$66:$ET$91,16,FALSE))</f>
        <v>5.9262248324738184E-2</v>
      </c>
      <c r="EL101" s="63"/>
      <c r="EM101" s="63"/>
      <c r="EQ101" s="152"/>
      <c r="ER101" s="55"/>
      <c r="ES101" s="55"/>
      <c r="ET101" s="55"/>
      <c r="EU101" s="55"/>
      <c r="EV101" s="295">
        <f>'Aides traitements'!$I$11</f>
        <v>2020</v>
      </c>
      <c r="EW101" s="764">
        <f>VLOOKUP($EV$97,$EV$66:$FT$91,18,FALSE)/VLOOKUP($EV$97,$EV$66:$FT$91,22,FALSE)</f>
        <v>0.38958819866560074</v>
      </c>
      <c r="EX101" s="801">
        <f>VLOOKUP($EV$97,$EV$66:$FT$91,19,FALSE)/VLOOKUP($EV$97,$EV$66:$FT$91,23,FALSE)</f>
        <v>0.37218100013578514</v>
      </c>
      <c r="EY101" s="801">
        <f>VLOOKUP($EV$97,$EV$66:$FT$91,20,FALSE)/VLOOKUP($EV$97,$EV$66:$FT$91,24,FALSE)</f>
        <v>0.40848553935496851</v>
      </c>
      <c r="EZ101" s="804">
        <f>VLOOKUP($EV$97,$EV$66:$FT$91,21,FALSE)/VLOOKUP($EV$97,$EV$66:$FT$91,25,FALSE)</f>
        <v>0.56030807753461764</v>
      </c>
      <c r="FV101" s="295">
        <f>'Aides traitements'!$I$11</f>
        <v>2020</v>
      </c>
      <c r="FW101" s="764">
        <f>VLOOKUP($FV$97,$FV$66:$GH$92,10,FALSE)/(VLOOKUP($FV$97,$FV$66:$GH$92,10,FALSE)+VLOOKUP($FV$97,$FV$66:$GH$92,11,FALSE)+VLOOKUP($FV$97,$FV$66:$GH$92,12,FALSE)+VLOOKUP($FV$97,$FV$66:$GH$92,13,FALSE))</f>
        <v>0.54115732104555303</v>
      </c>
      <c r="FX101" s="801">
        <f>VLOOKUP($FV$97,$FV$66:$GH$92,11,FALSE)/(VLOOKUP($FV$97,$FV$66:$GH$92,10,FALSE)+VLOOKUP($FV$97,$FV$66:$GH$92,11,FALSE)+VLOOKUP($FV$97,$FV$66:$GH$92,12,FALSE)+VLOOKUP($FV$97,$FV$66:$GH$92,13,FALSE))</f>
        <v>0.21392082617800778</v>
      </c>
      <c r="FY101" s="801">
        <f>VLOOKUP($FV$97,$FV$66:$GH$92,12,FALSE)/(VLOOKUP($FV$97,$FV$66:$GH$92,10,FALSE)+VLOOKUP($FV$97,$FV$66:$GH$92,11,FALSE)+VLOOKUP($FV$97,$FV$66:$GH$92,12,FALSE)+VLOOKUP($FV$97,$FV$66:$GH$92,13,FALSE))</f>
        <v>0.19708955433628408</v>
      </c>
      <c r="FZ101" s="804">
        <f>VLOOKUP($FV$97,$FV$66:$GH$92,13,FALSE)/(VLOOKUP($FV$97,$FV$66:$GH$92,10,FALSE)+VLOOKUP($FV$97,$FV$66:$GH$92,11,FALSE)+VLOOKUP($FV$97,$FV$66:$GH$92,12,FALSE)+VLOOKUP($FV$97,$FV$66:$GH$92,13,FALSE))</f>
        <v>4.7832298440155234E-2</v>
      </c>
      <c r="GB101" s="63"/>
      <c r="GC101" s="63"/>
      <c r="GI101" s="63"/>
      <c r="GK101" s="55"/>
      <c r="GL101" s="55"/>
      <c r="GM101" s="55"/>
      <c r="GN101" s="55"/>
      <c r="GO101" s="295">
        <f>'Aides traitements'!$I$11</f>
        <v>2020</v>
      </c>
      <c r="GP101" s="764">
        <f>VLOOKUP($GO$97,'Base de données'!$GO$66:$GX$91,8,FALSE)/(VLOOKUP($GO$97,'Base de données'!$GO$66:$GX$91,8,FALSE)+VLOOKUP($GO$97,'Base de données'!$GO$66:$GX$91,9,FALSE)+VLOOKUP($GO$97,'Base de données'!$GO$66:$GX$91,10,FALSE))</f>
        <v>0.83060770319747912</v>
      </c>
      <c r="GQ101" s="801">
        <f>VLOOKUP($GO$97,'Base de données'!$GO$66:$GX$91,9,FALSE)/(VLOOKUP($GO$97,'Base de données'!$GO$66:$GX$91,8,FALSE)+VLOOKUP($GO$97,'Base de données'!$GO$66:$GX$91,9,FALSE)+VLOOKUP($GO$97,'Base de données'!$GO$66:$GX$91,10,FALSE))</f>
        <v>3.1238821785289524E-2</v>
      </c>
      <c r="GR101" s="804">
        <f>VLOOKUP($GO$97,'Base de données'!$GO$66:$GX$91,10,FALSE)/(VLOOKUP($GO$97,'Base de données'!$GO$66:$GX$91,8,FALSE)+VLOOKUP($GO$97,'Base de données'!$GO$66:$GX$91,9,FALSE)+VLOOKUP($GO$97,'Base de données'!$GO$66:$GX$91,10,FALSE))</f>
        <v>0.13815347501723133</v>
      </c>
      <c r="GS101" s="63"/>
      <c r="GT101" s="63"/>
      <c r="GZ101" s="295">
        <f>'Aides traitements'!$I$11</f>
        <v>2020</v>
      </c>
      <c r="HA101" s="764">
        <f>VLOOKUP($GZ$97,'Base de données'!$GZ$66:$HI$91,8,FALSE)/(VLOOKUP($GZ$97,'Base de données'!$GZ$66:$HI$91,8,FALSE)+VLOOKUP($GZ$97,'Base de données'!$GZ$66:$HI$91,9,FALSE)+VLOOKUP($GZ$97,'Base de données'!$GZ$66:$HI$91,10,FALSE))</f>
        <v>0.30442201636326283</v>
      </c>
      <c r="HB101" s="801">
        <f>VLOOKUP($GZ$97,'Base de données'!$GZ$9:$HI$92,9,FALSE)/(VLOOKUP($GZ$97,'Base de données'!$GZ$9:$HI$92,8,FALSE)+VLOOKUP($GZ$97,'Base de données'!$GZ$9:$HI$92,9,FALSE)+VLOOKUP($GZ$97,'Base de données'!$GZ$9:$HI$92,10,FALSE))</f>
        <v>0.68660383846188933</v>
      </c>
      <c r="HC101" s="804">
        <f>VLOOKUP($GZ$97,'Base de données'!$GZ$9:$HI$92,10,FALSE)/(VLOOKUP($GZ$97,'Base de données'!$GZ$9:$HI$92,8,FALSE)+VLOOKUP($GZ$97,'Base de données'!$GZ$9:$HI$92,9,FALSE)+VLOOKUP($GZ$97,'Base de données'!$GZ$9:$HI$92,10,FALSE))</f>
        <v>8.9741451748478421E-3</v>
      </c>
      <c r="HD101" s="63"/>
      <c r="HE101" s="63"/>
      <c r="HL101" s="55"/>
      <c r="HM101" s="55"/>
      <c r="HN101" s="55"/>
      <c r="HO101" s="55"/>
      <c r="HP101" s="55"/>
      <c r="HQ101" s="55"/>
      <c r="HR101" s="55"/>
      <c r="HS101" s="55"/>
      <c r="HT101" s="55"/>
      <c r="HU101" s="55"/>
      <c r="HV101" s="55"/>
      <c r="HX101" s="63"/>
      <c r="HY101" s="63"/>
      <c r="HZ101" s="63"/>
      <c r="IA101" s="63"/>
      <c r="IB101" s="63"/>
      <c r="IC101" s="63"/>
      <c r="II101" s="63"/>
      <c r="IP101" s="295">
        <f>'Aides traitements'!$I$11</f>
        <v>2020</v>
      </c>
      <c r="IQ101" s="181">
        <f>VLOOKUP($IP$97,$IP$66:$JH$91,14,FALSE)/(VLOOKUP($IP$97,$IP$66:$JH$91,14,FALSE)+VLOOKUP($IP$97,$IP$66:$JH$91,15,FALSE)+VLOOKUP($IP$97,$IP$66:$JH$91,16,FALSE)+VLOOKUP($IP$97,$IP$66:$JH$91,17,FALSE)+VLOOKUP($IP$97,$IP$66:$JH$91,18,FALSE))</f>
        <v>0.15079793529159594</v>
      </c>
      <c r="IR101" s="182">
        <f>VLOOKUP($IP$97,$IP$66:$JH$91,15,FALSE)/(VLOOKUP($IP$97,$IP$66:$JH$91,14,FALSE)+VLOOKUP($IP$97,$IP$66:$JH$91,15,FALSE)+VLOOKUP($IP$97,$IP$66:$JH$91,16,FALSE)+VLOOKUP($IP$97,$IP$66:$JH$91,17,FALSE)+VLOOKUP($IP$97,$IP$66:$JH$91,18,FALSE))</f>
        <v>0.30109460995343179</v>
      </c>
      <c r="IS101" s="182">
        <f>VLOOKUP($IP$97,$IP$66:$JH$91,16,FALSE)/(VLOOKUP($IP$97,$IP$66:$JH$91,14,FALSE)+VLOOKUP($IP$97,$IP$66:$JH$91,15,FALSE)+VLOOKUP($IP$97,$IP$66:$JH$91,16,FALSE)+VLOOKUP($IP$97,$IP$66:$JH$91,17,FALSE)+VLOOKUP($IP$97,$IP$66:$JH$91,18,FALSE))</f>
        <v>0.22269480883513051</v>
      </c>
      <c r="IT101" s="182">
        <f>VLOOKUP($IP$97,$IP$66:$JH$91,17,FALSE)/(VLOOKUP($IP$97,$IP$66:$JH$91,14,FALSE)+VLOOKUP($IP$97,$IP$66:$JH$91,15,FALSE)+VLOOKUP($IP$97,$IP$66:$JH$91,16,FALSE)+VLOOKUP($IP$97,$IP$66:$JH$91,17,FALSE)+VLOOKUP($IP$97,$IP$66:$JH$91,18,FALSE))</f>
        <v>0.13562789318372159</v>
      </c>
      <c r="IU101" s="183">
        <f>VLOOKUP($IP$97,$IP$66:$JH$91,18,FALSE)/(VLOOKUP($IP$97,$IP$66:$JH$91,14,FALSE)+VLOOKUP($IP$97,$IP$66:$JH$91,15,FALSE)+VLOOKUP($IP$97,$IP$66:$JH$91,16,FALSE)+VLOOKUP($IP$97,$IP$66:$JH$91,17,FALSE)+VLOOKUP($IP$97,$IP$66:$JH$91,18,FALSE))</f>
        <v>0.18978475273612028</v>
      </c>
      <c r="JC101" s="55"/>
      <c r="JD101" s="55"/>
      <c r="JE101" s="55"/>
      <c r="JF101" s="55"/>
      <c r="JG101" s="55"/>
      <c r="JH101" s="55"/>
      <c r="JJ101" s="295">
        <f>'Aides traitements'!$I$11</f>
        <v>2020</v>
      </c>
      <c r="JK101" s="764">
        <f>VLOOKUP($JJ$97,$JJ$66:$JV$91,10,FALSE)/(VLOOKUP($JJ$97,$JJ$66:$JV$91,10,FALSE)+VLOOKUP($JJ$97,$JJ$66:$JV$91,11,FALSE)+VLOOKUP($JJ$97,$JJ$66:$JV$91,12,FALSE)+VLOOKUP($JJ$97,$JJ$66:$JV$91,13,FALSE))</f>
        <v>0.4273828494290553</v>
      </c>
      <c r="JL101" s="801">
        <f>VLOOKUP($JJ$97,$JJ$66:$JV$91,11,FALSE)/(VLOOKUP($JJ$97,$JJ$66:$JV$91,10,FALSE)+VLOOKUP($JJ$97,$JJ$66:$JV$91,11,FALSE)+VLOOKUP($JJ$97,$JJ$66:$JV$91,12,FALSE)+VLOOKUP($JJ$97,$JJ$66:$JV$91,13,FALSE))</f>
        <v>0.52788001296038933</v>
      </c>
      <c r="JM101" s="801">
        <f>VLOOKUP($JJ$97,$JJ$66:$JV$91,12,FALSE)/(VLOOKUP($JJ$97,$JJ$66:$JV$91,10,FALSE)+VLOOKUP($JJ$97,$JJ$66:$JV$91,11,FALSE)+VLOOKUP($JJ$97,$JJ$66:$JV$91,12,FALSE)+VLOOKUP($JJ$97,$JJ$66:$JV$91,13,FALSE))</f>
        <v>3.2317376747833387E-2</v>
      </c>
      <c r="JN101" s="804">
        <f>VLOOKUP($JJ$97,$JJ$66:$JV$91,13,FALSE)/(VLOOKUP($JJ$97,$JJ$66:$JV$91,10,FALSE)+VLOOKUP($JJ$97,$JJ$66:$JV$91,11,FALSE)+VLOOKUP($JJ$97,$JJ$66:$JV$91,12,FALSE)+VLOOKUP($JJ$97,$JJ$66:$JV$91,13,FALSE))</f>
        <v>1.2419760862721998E-2</v>
      </c>
      <c r="JX101" s="180" t="str">
        <f>VLOOKUP(JX100,'Aides traitements'!A5:B26,2,FALSE)</f>
        <v>Tours nord</v>
      </c>
      <c r="JY101" s="764">
        <f>VLOOKUP($JX101,$JX$9:$KB$91,2,FALSE)/(VLOOKUP($JX101,$JX$9:$KB$91,2,FALSE)+VLOOKUP($JX101,$JX$9:$KB$91,3,FALSE)+VLOOKUP($JX101,$JX$9:$KB$91,4,FALSE)+VLOOKUP($JX101,$JX$9:$KB$91,5,FALSE))</f>
        <v>0.17752063444011856</v>
      </c>
      <c r="JZ101" s="972">
        <f>VLOOKUP($JX101,$JX$9:$KB$91,3,FALSE)/(VLOOKUP($JX101,$JX$9:$KB$91,2,FALSE)+VLOOKUP($JX101,$JX$9:$KB$91,3,FALSE)+VLOOKUP($JX101,$JX$9:$KB$91,4,FALSE)+VLOOKUP($JX101,$JX$9:$KB$91,5,FALSE))</f>
        <v>0.2837971770358515</v>
      </c>
      <c r="KA101" s="972">
        <f>VLOOKUP($JX101,$JX$9:$KB$91,4,FALSE)/(VLOOKUP($JX101,$JX$9:$KB$91,2,FALSE)+VLOOKUP($JX101,$JX$9:$KB$91,3,FALSE)+VLOOKUP($JX101,$JX$9:$KB$91,4,FALSE)+VLOOKUP($JX101,$JX$9:$KB$91,5,FALSE))</f>
        <v>0.17871221271325913</v>
      </c>
      <c r="KB101" s="973">
        <f>VLOOKUP($JX101,$JX$9:$KB$91,5,FALSE)/(VLOOKUP($JX101,$JX$9:$KB$91,2,FALSE)+VLOOKUP($JX101,$JX$9:$KB$91,3,FALSE)+VLOOKUP($JX101,$JX$9:$KB$91,4,FALSE)+VLOOKUP($JX101,$JX$9:$KB$91,5,FALSE))</f>
        <v>0.35996997581077084</v>
      </c>
      <c r="KD101" s="975" t="s">
        <v>376</v>
      </c>
      <c r="KE101" s="852">
        <f>VLOOKUP($KD$97,$KD$9:$KV$91,8,FALSE)/(VLOOKUP($KD$97,$KD$9:$KV$91,8,FALSE)+VLOOKUP($KD$97,$KD$9:$KV$91,9,FALSE)+VLOOKUP($KD$97,$KD$9:$KV$91,10,FALSE)+VLOOKUP($KD$97,$KD$9:$KV$91,11,FALSE)+VLOOKUP($KD$97,$KD$9:$KV$91,12,FALSE)+VLOOKUP($KD$97,$KD$9:$KV$91,13,FALSE))</f>
        <v>0.32813025083974656</v>
      </c>
      <c r="KF101" s="853">
        <f>VLOOKUP($KD$97,$KD$9:$KV$91,9,FALSE)/(VLOOKUP($KD$97,$KD$9:$KV$91,8,FALSE)+VLOOKUP($KD$97,$KD$9:$KV$91,9,FALSE)+VLOOKUP($KD$97,$KD$9:$KV$91,10,FALSE)+VLOOKUP($KD$97,$KD$9:$KV$91,11,FALSE)+VLOOKUP($KD$97,$KD$9:$KV$91,12,FALSE)+VLOOKUP($KD$97,$KD$9:$KV$91,13,FALSE))</f>
        <v>0.13976404146727497</v>
      </c>
      <c r="KG101" s="853">
        <f>VLOOKUP($KD$97,$KD$9:$KV$91,10,FALSE)/(VLOOKUP($KD$97,$KD$9:$KV$91,8,FALSE)+VLOOKUP($KD$97,$KD$9:$KV$91,9,FALSE)+VLOOKUP($KD$97,$KD$9:$KV$91,10,FALSE)+VLOOKUP($KD$97,$KD$9:$KV$91,11,FALSE)+VLOOKUP($KD$97,$KD$9:$KV$91,12,FALSE)+VLOOKUP($KD$97,$KD$9:$KV$91,13,FALSE))</f>
        <v>0.27296592495054045</v>
      </c>
      <c r="KH101" s="853">
        <f>VLOOKUP($KD$97,$KD$9:$KV$91,11,FALSE)/(VLOOKUP($KD$97,$KD$9:$KV$91,8,FALSE)+VLOOKUP($KD$97,$KD$9:$KV$91,9,FALSE)+VLOOKUP($KD$97,$KD$9:$KV$91,10,FALSE)+VLOOKUP($KD$97,$KD$9:$KV$91,11,FALSE)+VLOOKUP($KD$97,$KD$9:$KV$91,12,FALSE)+VLOOKUP($KD$97,$KD$9:$KV$91,13,FALSE))</f>
        <v>0.13784431369203046</v>
      </c>
      <c r="KI101" s="853">
        <f>VLOOKUP($KD$97,$KD$9:$KV$91,12,FALSE)/(VLOOKUP($KD$97,$KD$9:$KV$91,8,FALSE)+VLOOKUP($KD$97,$KD$9:$KV$91,9,FALSE)+VLOOKUP($KD$97,$KD$9:$KV$91,10,FALSE)+VLOOKUP($KD$97,$KD$9:$KV$91,11,FALSE)+VLOOKUP($KD$97,$KD$9:$KV$91,12,FALSE)+VLOOKUP($KD$97,$KD$9:$KV$91,13,FALSE))</f>
        <v>6.7702958479344225E-2</v>
      </c>
      <c r="KJ101" s="854">
        <f>VLOOKUP($KD$97,$KD$9:$KV$91,13,FALSE)/(VLOOKUP($KD$97,$KD$9:$KV$91,8,FALSE)+VLOOKUP($KD$97,$KD$9:$KV$91,9,FALSE)+VLOOKUP($KD$97,$KD$9:$KV$91,10,FALSE)+VLOOKUP($KD$97,$KD$9:$KV$91,11,FALSE)+VLOOKUP($KD$97,$KD$9:$KV$91,12,FALSE)+VLOOKUP($KD$97,$KD$9:$KV$91,13,FALSE))</f>
        <v>5.3592510571063401E-2</v>
      </c>
      <c r="KK101" s="978"/>
      <c r="KL101" s="979"/>
      <c r="KM101" s="979"/>
      <c r="KN101" s="979"/>
      <c r="KO101" s="979"/>
      <c r="KP101" s="979"/>
      <c r="KQ101" s="55"/>
      <c r="KR101" s="55"/>
      <c r="KS101" s="55"/>
      <c r="KT101" s="55"/>
      <c r="KU101" s="55"/>
      <c r="KX101" s="295">
        <f>'Aides traitements'!$I$11</f>
        <v>2020</v>
      </c>
      <c r="KY101" s="764">
        <f>VLOOKUP($KX$97,$KX$9:$LG$91,8,FALSE)/(VLOOKUP($KX$97,$KX$9:$LG$91,8,FALSE)+VLOOKUP($KX$97,$KX$9:$LG$91,9,FALSE)+VLOOKUP($KX$97,$KX$9:$LG$91,10,FALSE))</f>
        <v>0.22924649329351682</v>
      </c>
      <c r="KZ101" s="801">
        <f>VLOOKUP($KX$97,$KX$9:$LG$91,9,FALSE)/(VLOOKUP($KX$97,$KX$9:$LG$91,8,FALSE)+VLOOKUP($KX$97,$KX$9:$LG$91,9,FALSE)+VLOOKUP($KX$97,$KX$9:$LG$91,10,FALSE))</f>
        <v>0.61462576485867626</v>
      </c>
      <c r="LA101" s="804">
        <f>VLOOKUP($KX$97,$KX$9:$LG$91,10,FALSE)/(VLOOKUP($KX$97,$KX$9:$LG$91,8,FALSE)+VLOOKUP($KX$97,$KX$9:$LG$91,9,FALSE)+VLOOKUP($KX$97,$KX$9:$LG$91,10,FALSE))</f>
        <v>0.15612774184780695</v>
      </c>
      <c r="LB101" s="426"/>
      <c r="LC101" s="426"/>
      <c r="LH101" s="63"/>
      <c r="LI101" s="295">
        <f>'Aides traitements'!$I$11</f>
        <v>2020</v>
      </c>
      <c r="LJ101" s="984"/>
      <c r="LK101" s="801">
        <f>VLOOKUP($LI$97,$LI$9:$MA$91,15,FALSE)/(VLOOKUP($LI$97,$LI$9:$MA$91,14,FALSE)+VLOOKUP($LI$97,$LI$9:$MA$91,17,FALSE)+VLOOKUP($LI$97,$LI$9:$MA$91,18,FALSE)+VLOOKUP($LI$97,$LI$9:$MA$91,19,FALSE))</f>
        <v>0.58771585559089801</v>
      </c>
      <c r="LL101" s="801">
        <f>VLOOKUP($LI$97,$LI$9:$MA$91,16,FALSE)/(VLOOKUP($LI$97,$LI$9:$MA$91,14,FALSE)+VLOOKUP($LI$97,$LI$9:$MA$91,17,FALSE)+VLOOKUP($LI$97,$LI$9:$MA$91,18,FALSE)+VLOOKUP($LI$97,$LI$9:$MA$91,19,FALSE))</f>
        <v>9.4308135056722892E-2</v>
      </c>
      <c r="LM101" s="801">
        <f>VLOOKUP($LI$97,$LI$9:$MA$91,17,FALSE)/(VLOOKUP($LI$97,$LI$9:$MA$91,14,FALSE)+VLOOKUP($LI$97,$LI$9:$MA$91,17,FALSE)+VLOOKUP($LI$97,$LI$9:$MA$91,18,FALSE)+VLOOKUP($LI$97,$LI$9:$MA$91,19,FALSE))</f>
        <v>0.21142789074288498</v>
      </c>
      <c r="LN101" s="801">
        <f>VLOOKUP($LI$97,$LI$9:$MA$91,18,FALSE)/(VLOOKUP($LI$97,$LI$9:$MA$91,14,FALSE)+VLOOKUP($LI$97,$LI$9:$MA$91,17,FALSE)+VLOOKUP($LI$97,$LI$9:$MA$91,18,FALSE)+VLOOKUP($LI$97,$LI$9:$MA$91,19,FALSE))</f>
        <v>4.1289007692012498E-2</v>
      </c>
      <c r="LO101" s="804">
        <f>VLOOKUP($LI$97,$LI$9:$MA$91,19,FALSE)/(VLOOKUP($LI$97,$LI$9:$MA$91,14,FALSE)+VLOOKUP($LI$97,$LI$9:$MA$91,17,FALSE)+VLOOKUP($LI$97,$LI$9:$MA$91,18,FALSE)+VLOOKUP($LI$97,$LI$9:$MA$91,19,FALSE))</f>
        <v>6.5259110917483681E-2</v>
      </c>
      <c r="LW101" s="55"/>
      <c r="LX101" s="55"/>
      <c r="LY101" s="55"/>
      <c r="LZ101" s="55"/>
      <c r="MA101" s="55"/>
      <c r="MB101" s="55"/>
      <c r="MC101" s="295">
        <f>'Aides traitements'!$I$11</f>
        <v>2020</v>
      </c>
      <c r="MD101" s="801">
        <f>VLOOKUP($MC$97,'Base de données'!$MC$9:$MU$91,14,FALSE)/(VLOOKUP($MC$97,'Base de données'!$MC$9:$MU$91,14,FALSE)+VLOOKUP($MC$97,'Base de données'!$MC$9:$MU$91,15,FALSE)+VLOOKUP($MC$97,'Base de données'!$MC$9:$MU$91,16,FALSE)+VLOOKUP($MC$97,'Base de données'!$MC$9:$MU$91,17,FALSE)+VLOOKUP($MC$97,'Base de données'!$MC$9:$MU$91,18,FALSE)+VLOOKUP($MC$97,'Base de données'!$MC$9:$MU$91,19,FALSE))</f>
        <v>0</v>
      </c>
      <c r="ME101" s="801">
        <f>VLOOKUP($MC$97,'Base de données'!$MC$9:$MU$92,15,FALSE)/(VLOOKUP($MC$97,'Base de données'!$MC$9:$MU$92,14,FALSE)+VLOOKUP($MC$97,'Base de données'!$MC$9:$MU$92,15,FALSE)+VLOOKUP($MC$97,'Base de données'!$MC$9:$MU$92,16,FALSE)+VLOOKUP($MC$97,'Base de données'!$MC$9:$MU$92,17,FALSE)+VLOOKUP($MC$97,'Base de données'!$MC$9:$MU$92,18,FALSE)+VLOOKUP($MC$97,'Base de données'!$MC$9:$MU$92,19,FALSE))</f>
        <v>6.5714638137848155E-2</v>
      </c>
      <c r="MF101" s="801">
        <f>VLOOKUP($MC$97,'Base de données'!$MC$9:$MU$92,16,FALSE)/(VLOOKUP($MC$97,'Base de données'!$MC$9:$MU$92,14,FALSE)+VLOOKUP($MC$97,'Base de données'!$MC$9:$MU$92,15,FALSE)+VLOOKUP($MC$97,'Base de données'!$MC$9:$MU$92,16,FALSE)+VLOOKUP($MC$97,'Base de données'!$MC$9:$MU$92,17,FALSE)+VLOOKUP($MC$97,'Base de données'!$MC$9:$MU$92,18,FALSE)+VLOOKUP($MC$97,'Base de données'!$MC$9:$MU$92,19,FALSE))</f>
        <v>0.28913319864294651</v>
      </c>
      <c r="MG101" s="801">
        <f>VLOOKUP($MC$97,'Base de données'!$MC$9:$MU$92,17,FALSE)/(VLOOKUP($MC$97,'Base de données'!$MC$9:$MU$92,14,FALSE)+VLOOKUP($MC$97,'Base de données'!$MC$9:$MU$92,15,FALSE)+VLOOKUP($MC$97,'Base de données'!$MC$9:$MU$92,16,FALSE)+VLOOKUP($MC$97,'Base de données'!$MC$9:$MU$92,17,FALSE)+VLOOKUP($MC$97,'Base de données'!$MC$9:$MU$92,18,FALSE)+VLOOKUP($MC$97,'Base de données'!$MC$9:$MU$92,19,FALSE))</f>
        <v>0.31207142571352492</v>
      </c>
      <c r="MH101" s="801">
        <f>VLOOKUP($MC$97,'Base de données'!$MC$9:$MU$92,18,FALSE)/(VLOOKUP($MC$97,'Base de données'!$MC$9:$MU$92,14,FALSE)+VLOOKUP($MC$97,'Base de données'!$MC$9:$MU$92,15,FALSE)+VLOOKUP($MC$97,'Base de données'!$MC$9:$MU$92,16,FALSE)+VLOOKUP($MC$97,'Base de données'!$MC$9:$MU$92,17,FALSE)+VLOOKUP($MC$97,'Base de données'!$MC$9:$MU$92,18,FALSE)+VLOOKUP($MC$97,'Base de données'!$MC$9:$MU$92,19,FALSE))</f>
        <v>0.21278889885288427</v>
      </c>
      <c r="MI101" s="804">
        <f>VLOOKUP($MC$97,'Base de données'!$MC$9:$MU$92,19,FALSE)/(VLOOKUP($MC$97,'Base de données'!$MC$9:$MU$92,14,FALSE)+VLOOKUP($MC$97,'Base de données'!$MC$9:$MU$92,15,FALSE)+VLOOKUP($MC$97,'Base de données'!$MC$9:$MU$92,16,FALSE)+VLOOKUP($MC$97,'Base de données'!$MC$9:$MU$92,17,FALSE)+VLOOKUP($MC$97,'Base de données'!$MC$9:$MU$92,18,FALSE)+VLOOKUP($MC$97,'Base de données'!$MC$9:$MU$92,19,FALSE))</f>
        <v>0.12029183865279625</v>
      </c>
      <c r="MO101" s="55"/>
      <c r="MP101" s="55"/>
      <c r="MQ101" s="55"/>
      <c r="MR101" s="55"/>
      <c r="MS101" s="55"/>
      <c r="MT101" s="55"/>
      <c r="MU101" s="55"/>
      <c r="MV101" s="55"/>
      <c r="MW101" s="405" t="str">
        <f>INDEX('Aides traitements'!$A$5:$A$58,'Page de garde'!$C$4,1)</f>
        <v>Paul Bert</v>
      </c>
      <c r="MX101" s="1097">
        <f>IF($MX$99=2009,VLOOKUP($MW101,$MW$9:$NF$91,3,FALSE)/VLOOKUP($MW101,$MW$9:$NF$91,2,FALSE),VLOOKUP($MW101,$MW$9:$NF$91,6,FALSE)/VLOOKUP($MW101,$MW$9:$NF$91,5,FALSE))</f>
        <v>0.89004024717953634</v>
      </c>
      <c r="MY101" s="1098">
        <f>IF($MX$99=2009,VLOOKUP($MW101,$MW$9:$NF$92,4,FALSE)/VLOOKUP($MW101,$MW$9:$NF$92,2,FALSE),VLOOKUP($MW101,$MW$9:$NF$92,7,FALSE)/VLOOKUP($MW101,$MW$9:$NF$92,5,FALSE))</f>
        <v>0.10995975197539218</v>
      </c>
      <c r="MZ101" s="1099">
        <f>VLOOKUP($MW101,$MW$9:$NF$91,9,FALSE)/VLOOKUP($MW101,$MW$9:$NF$91,8,FALSE)</f>
        <v>0.85303119427657237</v>
      </c>
      <c r="NA101" s="1098">
        <f>VLOOKUP($MW101,$MW$9:$NF$91,10,FALSE)/VLOOKUP($MW101,$MW$9:$NF$91,8,FALSE)</f>
        <v>0.14696880572342538</v>
      </c>
      <c r="OQ101" s="55"/>
      <c r="OR101" s="55"/>
      <c r="OS101" s="55"/>
      <c r="OT101" s="1000">
        <f>'Aides traitements'!$I$11</f>
        <v>2020</v>
      </c>
      <c r="OU101" s="764">
        <f>VLOOKUP($OT$97,$OT$9:$PF$91,10,FALSE)/(VLOOKUP($OT$97,$OT$9:$PF$91,10,FALSE)+VLOOKUP($OT$97,$OT$9:$PF$91,11,FALSE)+VLOOKUP($OT$97,$OT$9:$PF$91,12,FALSE)+VLOOKUP($OT$97,$OT$9:$PF$91,13,FALSE))</f>
        <v>0.17741717152686126</v>
      </c>
      <c r="OV101" s="801">
        <f>VLOOKUP($OT$97,$OT$9:$PF$91,11,FALSE)/(VLOOKUP($OT$97,$OT$9:$PF$91,10,FALSE)+VLOOKUP($OT$97,$OT$9:$PF$91,11,FALSE)+VLOOKUP($OT$97,$OT$9:$PF$91,12,FALSE)+VLOOKUP($OT$97,$OT$9:$PF$91,13,FALSE))</f>
        <v>0.14801042834363762</v>
      </c>
      <c r="OW101" s="801">
        <f>VLOOKUP($OT$97,$OT$9:$PF$91,12,FALSE)/(VLOOKUP($OT$97,$OT$9:$PF$91,10,FALSE)+VLOOKUP($OT$97,$OT$9:$PF$91,11,FALSE)+VLOOKUP($OT$97,$OT$9:$PF$91,12,FALSE)+VLOOKUP($OT$97,$OT$9:$PF$91,13,FALSE))</f>
        <v>0.16062907052047251</v>
      </c>
      <c r="OX101" s="804">
        <f>VLOOKUP($OT$97,$OT$9:$PF$91,13,FALSE)/(VLOOKUP($OT$97,$OT$9:$PF$91,10,FALSE)+VLOOKUP($OT$97,$OT$9:$PF$91,11,FALSE)+VLOOKUP($OT$97,$OT$9:$PF$91,12,FALSE)+VLOOKUP($OT$97,$OT$9:$PF$91,13,FALSE))</f>
        <v>0.51394332960902844</v>
      </c>
      <c r="PE101" s="55"/>
      <c r="PF101" s="55"/>
      <c r="PG101" s="55"/>
      <c r="PH101" s="295" t="s">
        <v>438</v>
      </c>
      <c r="PI101" s="764">
        <f>VLOOKUP($PH$97,$PH$9:$PP$91,6,FALSE)/(VLOOKUP($PH$97,$PH$9:$PP$91,6,FALSE)+VLOOKUP($PH$97,$PH$9:$PP$91,7,FALSE)+VLOOKUP($PH$97,$PH$9:$PP$91,8,FALSE)+VLOOKUP($PH$97,$PH$9:$PP$91,9,FALSE))</f>
        <v>0.21281189442771997</v>
      </c>
      <c r="PJ101" s="801">
        <f>VLOOKUP($PH$97,$PH$9:$PP$91,7,FALSE)/(VLOOKUP($PH$97,$PH$9:$PP$91,6,FALSE)+VLOOKUP($PH$97,$PH$9:$PP$91,7,FALSE)+VLOOKUP($PH$97,$PH$9:$PP$91,8,FALSE)+VLOOKUP($PH$97,$PH$9:$PP$91,9,FALSE))</f>
        <v>0.13547188551557651</v>
      </c>
      <c r="PK101" s="801">
        <f>VLOOKUP($PH$97,$PH$9:$PP$91,8,FALSE)/(VLOOKUP($PH$97,$PH$9:$PP$91,6,FALSE)+VLOOKUP($PH$97,$PH$9:$PP$91,7,FALSE)+VLOOKUP($PH$97,$PH$9:$PP$91,8,FALSE)+VLOOKUP($PH$97,$PH$9:$PP$91,9,FALSE))</f>
        <v>0.13968700854920654</v>
      </c>
      <c r="PL101" s="804">
        <f>VLOOKUP($PH$97,$PH$9:$PP$91,9,FALSE)/(VLOOKUP($PH$97,$PH$9:$PP$91,6,FALSE)+VLOOKUP($PH$97,$PH$9:$PP$91,7,FALSE)+VLOOKUP($PH$97,$PH$9:$PP$91,8,FALSE)+VLOOKUP($PH$97,$PH$9:$PP$91,9,FALSE))</f>
        <v>0.51202921150749681</v>
      </c>
      <c r="PR101" s="405" t="str">
        <f>VLOOKUP(PR100,'Aides traitements'!A5:B26,2,FALSE)</f>
        <v>Tours nord</v>
      </c>
      <c r="PS101" s="679">
        <f>VLOOKUP($PR$101,$PR$9:$PX$91,2,FALSE)/(VLOOKUP($PR$101,$PR$9:$PX$91,2,FALSE)+VLOOKUP($PR$101,$PR$9:$PX$91,3,FALSE)+VLOOKUP($PR$101,$PR$9:$PX$91,4,FALSE)+VLOOKUP($PR$101,$PR$9:$PX$91,5,FALSE)+VLOOKUP($PR$101,$PR$9:$PX$91,6,FALSE)+VLOOKUP($PR$101,$PR$9:$PX$91,7,FALSE))</f>
        <v>2.724166848765873E-2</v>
      </c>
      <c r="PT101" s="579">
        <f>VLOOKUP($PR$101,$PR$9:$PX$91,3,FALSE)/(VLOOKUP($PR$101,$PR$9:$PX$91,2,FALSE)+VLOOKUP($PR$101,$PR$9:$PX$91,3,FALSE)+VLOOKUP($PR$101,$PR$9:$PX$91,4,FALSE)+VLOOKUP($PR$101,$PR$9:$PX$91,5,FALSE)+VLOOKUP($PR$101,$PR$9:$PX$91,6,FALSE)+VLOOKUP($PR$101,$PR$9:$PX$91,7,FALSE))</f>
        <v>5.1199482588569031E-2</v>
      </c>
      <c r="PU101" s="579">
        <f>VLOOKUP($PR$101,$PR$9:$PX$91,4,FALSE)/(VLOOKUP($PR$101,$PR$9:$PX$91,2,FALSE)+VLOOKUP($PR$101,$PR$9:$PX$91,3,FALSE)+VLOOKUP($PR$101,$PR$9:$PX$91,4,FALSE)+VLOOKUP($PR$101,$PR$9:$PX$91,5,FALSE)+VLOOKUP($PR$101,$PR$9:$PX$91,6,FALSE)+VLOOKUP($PR$101,$PR$9:$PX$91,7,FALSE))</f>
        <v>4.5237977226410923E-2</v>
      </c>
      <c r="PV101" s="579">
        <f>VLOOKUP($PR$101,$PR$9:$PX$91,5,FALSE)/(VLOOKUP($PR$101,$PR$9:$PX$91,2,FALSE)+VLOOKUP($PR$101,$PR$9:$PX$91,3,FALSE)+VLOOKUP($PR$101,$PR$9:$PX$91,4,FALSE)+VLOOKUP($PR$101,$PR$9:$PX$91,5,FALSE)+VLOOKUP($PR$101,$PR$9:$PX$91,6,FALSE)+VLOOKUP($PR$101,$PR$9:$PX$91,7,FALSE))</f>
        <v>1.5129325016484636E-2</v>
      </c>
      <c r="PW101" s="579">
        <f>VLOOKUP($PR$101,$PR$9:$PX$91,6,FALSE)/(VLOOKUP($PR$101,$PR$9:$PX$91,2,FALSE)+VLOOKUP($PR$101,$PR$9:$PX$91,3,FALSE)+VLOOKUP($PR$101,$PR$9:$PX$91,4,FALSE)+VLOOKUP($PR$101,$PR$9:$PX$91,5,FALSE)+VLOOKUP($PR$101,$PR$9:$PX$91,6,FALSE)+VLOOKUP($PR$101,$PR$9:$PX$91,7,FALSE))</f>
        <v>0.65195908564556915</v>
      </c>
      <c r="PX101" s="680">
        <f>VLOOKUP($PR$101,$PR$9:$PX$91,7,FALSE)/(VLOOKUP($PR$101,$PR$9:$PX$91,2,FALSE)+VLOOKUP($PR$101,$PR$9:$PX$91,3,FALSE)+VLOOKUP($PR$101,$PR$9:$PX$91,4,FALSE)+VLOOKUP($PR$101,$PR$9:$PX$91,5,FALSE)+VLOOKUP($PR$101,$PR$9:$PX$91,6,FALSE)+VLOOKUP($PR$101,$PR$9:$PX$91,7,FALSE))</f>
        <v>0.20923246103530754</v>
      </c>
      <c r="PY101" s="426"/>
      <c r="PZ101" s="405" t="str">
        <f>VLOOKUP(PZ100,'Aides traitements'!A5:B26,2,FALSE)</f>
        <v>Tours nord</v>
      </c>
      <c r="QA101" s="679">
        <f>VLOOKUP($PZ$101,$PZ$9:$QF$91,2,FALSE)/(VLOOKUP($PZ$101,$PZ$9:$QF$91,2,FALSE)+VLOOKUP($PZ$101,$PZ$9:$QF$91,3,FALSE))</f>
        <v>0.61758515843739292</v>
      </c>
      <c r="QB101" s="579">
        <f>VLOOKUP($PZ$101,$PZ$9:$QF$91,3,FALSE)/(VLOOKUP($PZ$101,$PZ$9:$QF$91,2,FALSE)+VLOOKUP($PZ$101,$PZ$9:$QF$91,3,FALSE))</f>
        <v>0.38241484156260719</v>
      </c>
      <c r="QC101" s="579">
        <f>VLOOKUP($PZ$101,$PZ$9:$QF$91,4,FALSE)/(VLOOKUP($PZ$101,$PZ$9:$QF$91,3,FALSE))</f>
        <v>0.8377873351508377</v>
      </c>
      <c r="QD101" s="579">
        <f>VLOOKUP($PZ$101,$PZ$9:$QF$91,5,FALSE)/(VLOOKUP($PZ$101,$PZ$9:$QF$91,3,FALSE))</f>
        <v>6.4421605211911939E-2</v>
      </c>
      <c r="QE101" s="579">
        <f>VLOOKUP($PZ$101,$PZ$9:$QF$91,6,FALSE)/(VLOOKUP($PZ$101,$PZ$9:$QF$91,3,FALSE))</f>
        <v>9.5034285490890408E-2</v>
      </c>
      <c r="QF101" s="680">
        <f>VLOOKUP($PZ$101,$PZ$9:$QF$91,7,FALSE)/(VLOOKUP($PZ$101,$PZ$9:$QF$91,3,FALSE))</f>
        <v>2.7567741463597473E-3</v>
      </c>
    </row>
    <row r="102" spans="1:448" ht="19.95" customHeight="1">
      <c r="B102" s="55"/>
      <c r="C102" s="55"/>
      <c r="D102" s="55"/>
      <c r="E102" s="55"/>
      <c r="X102" s="63"/>
      <c r="Y102" s="97"/>
      <c r="Z102" s="97"/>
      <c r="AA102" s="97"/>
      <c r="AB102" s="97"/>
      <c r="AJ102" s="63"/>
      <c r="AN102" s="696"/>
      <c r="AO102" s="867"/>
      <c r="AP102" s="867"/>
      <c r="AQ102" s="867"/>
      <c r="AR102" s="867"/>
      <c r="AS102" s="867"/>
      <c r="AT102" s="867"/>
      <c r="AU102" s="867"/>
      <c r="AV102" s="867"/>
      <c r="AW102" s="867"/>
      <c r="AX102" s="867"/>
      <c r="AY102" s="867"/>
      <c r="AZ102" s="867"/>
      <c r="BA102" s="867"/>
      <c r="BB102" s="867"/>
      <c r="BC102" s="867"/>
      <c r="BD102" s="867"/>
      <c r="CS102" s="426"/>
      <c r="CT102" s="426"/>
      <c r="CU102" s="426"/>
      <c r="CV102" s="426"/>
      <c r="CW102" s="426"/>
      <c r="DG102" s="55"/>
      <c r="DH102" s="55"/>
      <c r="DI102" s="55"/>
      <c r="DJ102" s="55"/>
      <c r="DO102" s="63"/>
      <c r="DR102" s="63"/>
      <c r="DS102" s="63"/>
      <c r="DU102" s="63"/>
      <c r="DZ102" s="63"/>
      <c r="EE102" s="63"/>
      <c r="EF102" s="63"/>
      <c r="EG102" s="55"/>
      <c r="EH102" s="63"/>
      <c r="EL102" s="63"/>
      <c r="EM102" s="63"/>
      <c r="EQ102" s="55"/>
      <c r="ER102" s="55"/>
      <c r="ES102" s="55"/>
      <c r="ET102" s="55"/>
      <c r="EU102" s="55"/>
      <c r="FX102" s="63"/>
      <c r="FY102" s="63"/>
      <c r="GB102" s="63"/>
      <c r="GC102" s="63"/>
      <c r="GI102" s="63"/>
      <c r="GK102" s="55"/>
      <c r="GL102" s="55"/>
      <c r="GM102" s="55"/>
      <c r="GN102" s="55"/>
      <c r="GO102" s="63"/>
      <c r="GP102" s="63"/>
      <c r="GQ102" s="63"/>
      <c r="GR102" s="63"/>
      <c r="GT102" s="63"/>
      <c r="GU102" s="63"/>
      <c r="HA102" s="63"/>
      <c r="HB102" s="63"/>
      <c r="HC102" s="63"/>
      <c r="HE102" s="63"/>
      <c r="HF102" s="63"/>
      <c r="HL102" s="55"/>
      <c r="HM102" s="55"/>
      <c r="HN102" s="55"/>
      <c r="HO102" s="55"/>
      <c r="HP102" s="55"/>
      <c r="HQ102" s="55"/>
      <c r="HR102" s="55"/>
      <c r="HS102" s="55"/>
      <c r="HT102" s="55"/>
      <c r="HU102" s="55"/>
      <c r="HV102" s="55"/>
      <c r="HX102" s="63"/>
      <c r="HY102" s="63"/>
      <c r="HZ102" s="63"/>
      <c r="IA102" s="63"/>
      <c r="IB102" s="63"/>
      <c r="IC102" s="63"/>
      <c r="II102" s="63"/>
      <c r="IV102" s="55"/>
      <c r="IW102" s="55"/>
      <c r="IX102" s="55"/>
      <c r="IY102" s="55"/>
      <c r="IZ102" s="55"/>
      <c r="JA102" s="55"/>
      <c r="JC102" s="55"/>
      <c r="JD102" s="55"/>
      <c r="JE102" s="55"/>
      <c r="JF102" s="55"/>
      <c r="JG102" s="55"/>
      <c r="JH102" s="55"/>
      <c r="JQ102" s="55"/>
      <c r="JR102" s="55"/>
      <c r="JS102" s="55"/>
      <c r="JT102" s="55"/>
      <c r="JX102" s="180" t="s">
        <v>0</v>
      </c>
      <c r="JY102" s="679">
        <f>VLOOKUP($JX102,$JX$9:$KB$91,2,FALSE)/(VLOOKUP($JX102,$JX$9:$KB$91,2,FALSE)+VLOOKUP($JX102,$JX$9:$KB$91,3,FALSE)+VLOOKUP($JX102,$JX$9:$KB$91,4,FALSE)+VLOOKUP($JX102,$JX$9:$KB$91,5,FALSE))</f>
        <v>0.21887702512686869</v>
      </c>
      <c r="JZ102" s="579">
        <f>VLOOKUP($JX102,$JX$9:$KB$91,3,FALSE)/(VLOOKUP($JX102,$JX$9:$KB$91,2,FALSE)+VLOOKUP($JX102,$JX$9:$KB$91,3,FALSE)+VLOOKUP($JX102,$JX$9:$KB$91,4,FALSE)+VLOOKUP($JX102,$JX$9:$KB$91,5,FALSE))</f>
        <v>0.28958930980462877</v>
      </c>
      <c r="KA102" s="579">
        <f>VLOOKUP($JX102,$JX$9:$KB$91,4,FALSE)/(VLOOKUP($JX102,$JX$9:$KB$91,2,FALSE)+VLOOKUP($JX102,$JX$9:$KB$91,3,FALSE)+VLOOKUP($JX102,$JX$9:$KB$91,4,FALSE)+VLOOKUP($JX102,$JX$9:$KB$91,5,FALSE))</f>
        <v>0.16253981701319228</v>
      </c>
      <c r="KB102" s="680">
        <f>VLOOKUP($JX102,$JX$9:$KB$91,5,FALSE)/(VLOOKUP($JX102,$JX$9:$KB$91,2,FALSE)+VLOOKUP($JX102,$JX$9:$KB$91,3,FALSE)+VLOOKUP($JX102,$JX$9:$KB$91,4,FALSE)+VLOOKUP($JX102,$JX$9:$KB$91,5,FALSE))</f>
        <v>0.32899384805531029</v>
      </c>
      <c r="KZ102" s="426"/>
      <c r="LA102" s="426"/>
      <c r="LB102" s="426"/>
      <c r="LC102" s="426"/>
      <c r="LD102" s="63"/>
      <c r="LE102" s="63"/>
      <c r="LF102" s="63"/>
      <c r="LG102" s="63"/>
      <c r="LH102" s="63"/>
      <c r="LI102" s="63"/>
      <c r="LJ102" s="533"/>
      <c r="LK102" s="533"/>
      <c r="LL102" s="63"/>
      <c r="LM102" s="63"/>
      <c r="MW102" s="202" t="str">
        <f>VLOOKUP(MW101,'Aides traitements'!$A$5:$B$58,2,FALSE)</f>
        <v>Tours nord</v>
      </c>
      <c r="MX102" s="801">
        <f>IF($MX$99=2009,VLOOKUP($MW102,$MW$9:$NF$91,3,FALSE)/VLOOKUP($MW102,$MW$9:$NF$91,2,FALSE),VLOOKUP($MW102,$MW$9:$NF$91,6,FALSE)/VLOOKUP($MW102,$MW$9:$NF$91,5,FALSE))</f>
        <v>0.93301682707536171</v>
      </c>
      <c r="MY102" s="804">
        <f>IF($MX$99=2009,VLOOKUP($MW102,$MW$9:$NF$92,4,FALSE)/VLOOKUP($MW102,$MW$9:$NF$92,2,FALSE),VLOOKUP($MW102,$MW$9:$NF$92,7,FALSE)/VLOOKUP($MW102,$MW$9:$NF$92,5,FALSE))</f>
        <v>6.6983172605691879E-2</v>
      </c>
      <c r="MZ102" s="764">
        <f t="shared" ref="MZ102:MZ103" si="1388">VLOOKUP($MW102,$MW$9:$NF$91,9,FALSE)/VLOOKUP($MW102,$MW$9:$NF$91,8,FALSE)</f>
        <v>0.91938091269319611</v>
      </c>
      <c r="NA102" s="804">
        <f t="shared" ref="NA102:NA103" si="1389">VLOOKUP($MW102,$MW$9:$NF$91,10,FALSE)/VLOOKUP($MW102,$MW$9:$NF$91,8,FALSE)</f>
        <v>8.0619087306804199E-2</v>
      </c>
      <c r="OJ102" s="55"/>
      <c r="OK102" s="55"/>
      <c r="OL102" s="55"/>
      <c r="OM102" s="55"/>
      <c r="ON102" s="55"/>
      <c r="OO102" s="55"/>
      <c r="OP102" s="55"/>
      <c r="OQ102" s="55"/>
      <c r="OR102" s="55"/>
      <c r="OS102" s="55"/>
      <c r="OT102" s="55"/>
      <c r="OU102" s="55"/>
      <c r="OV102" s="55"/>
      <c r="OW102" s="55"/>
      <c r="OX102" s="55"/>
      <c r="OY102" s="55"/>
      <c r="OZ102" s="55"/>
      <c r="PA102" s="55"/>
      <c r="PB102" s="55"/>
      <c r="PC102" s="55"/>
      <c r="PD102" s="55"/>
      <c r="PE102" s="55"/>
      <c r="PF102" s="55"/>
      <c r="PG102" s="55"/>
      <c r="PR102" s="405" t="s">
        <v>0</v>
      </c>
      <c r="PS102" s="1062">
        <f>VLOOKUP($PR$102,$PR$9:$PX$91,2,FALSE)/(VLOOKUP($PR$102,$PR$9:$PX$91,2,FALSE)+VLOOKUP($PR$102,$PR$9:$PX$91,3,FALSE)+VLOOKUP($PR$102,$PR$9:$PX$91,4,FALSE)+VLOOKUP($PR$102,$PR$9:$PX$91,5,FALSE)+VLOOKUP($PR$102,$PR$9:$PX$91,6,FALSE)+VLOOKUP($PR$102,$PR$9:$PX$91,7,FALSE))</f>
        <v>3.0212523121167619E-2</v>
      </c>
      <c r="PT102" s="1063">
        <f>VLOOKUP($PR$102,$PR$9:$PX$91,3,FALSE)/(VLOOKUP($PR$102,$PR$9:$PX$91,2,FALSE)+VLOOKUP($PR$102,$PR$9:$PX$91,3,FALSE)+VLOOKUP($PR$102,$PR$9:$PX$91,4,FALSE)+VLOOKUP($PR$102,$PR$9:$PX$91,5,FALSE)+VLOOKUP($PR$102,$PR$9:$PX$91,6,FALSE)+VLOOKUP($PR$102,$PR$9:$PX$91,7,FALSE))</f>
        <v>0.1240179585791171</v>
      </c>
      <c r="PU102" s="1063">
        <f>VLOOKUP($PR$102,$PR$9:$PX$91,4,FALSE)/(VLOOKUP($PR$102,$PR$9:$PX$91,2,FALSE)+VLOOKUP($PR$102,$PR$9:$PX$91,3,FALSE)+VLOOKUP($PR$102,$PR$9:$PX$91,4,FALSE)+VLOOKUP($PR$102,$PR$9:$PX$91,5,FALSE)+VLOOKUP($PR$102,$PR$9:$PX$91,6,FALSE)+VLOOKUP($PR$102,$PR$9:$PX$91,7,FALSE))</f>
        <v>7.5175212281130513E-2</v>
      </c>
      <c r="PV102" s="1063">
        <f>VLOOKUP($PR$102,$PR$9:$PX$91,5,FALSE)/(VLOOKUP($PR$102,$PR$9:$PX$91,2,FALSE)+VLOOKUP($PR$102,$PR$9:$PX$91,3,FALSE)+VLOOKUP($PR$102,$PR$9:$PX$91,4,FALSE)+VLOOKUP($PR$102,$PR$9:$PX$91,5,FALSE)+VLOOKUP($PR$102,$PR$9:$PX$91,6,FALSE)+VLOOKUP($PR$102,$PR$9:$PX$91,7,FALSE))</f>
        <v>1.3775773463192453E-2</v>
      </c>
      <c r="PW102" s="1063">
        <f>VLOOKUP($PR$102,$PR$9:$PX$91,6,FALSE)/(VLOOKUP($PR$102,$PR$9:$PX$91,2,FALSE)+VLOOKUP($PR$102,$PR$9:$PX$91,3,FALSE)+VLOOKUP($PR$102,$PR$9:$PX$91,4,FALSE)+VLOOKUP($PR$102,$PR$9:$PX$91,5,FALSE)+VLOOKUP($PR$102,$PR$9:$PX$91,6,FALSE)+VLOOKUP($PR$102,$PR$9:$PX$91,7,FALSE))</f>
        <v>0.53306149694725113</v>
      </c>
      <c r="PX102" s="1064">
        <f>VLOOKUP($PR$102,$PR$9:$PX$91,7,FALSE)/(VLOOKUP($PR$102,$PR$9:$PX$91,2,FALSE)+VLOOKUP($PR$102,$PR$9:$PX$91,3,FALSE)+VLOOKUP($PR$102,$PR$9:$PX$91,4,FALSE)+VLOOKUP($PR$102,$PR$9:$PX$91,5,FALSE)+VLOOKUP($PR$102,$PR$9:$PX$91,6,FALSE)+VLOOKUP($PR$102,$PR$9:$PX$91,7,FALSE))</f>
        <v>0.22375703560814114</v>
      </c>
      <c r="PY102" s="55"/>
      <c r="PZ102" s="405" t="s">
        <v>0</v>
      </c>
      <c r="QA102" s="1062">
        <f>VLOOKUP($PZ$102,$PZ$9:$QF$91,2,FALSE)/(VLOOKUP($PZ$102,$PZ$9:$QF$91,2,FALSE)+VLOOKUP($PZ$102,$PZ$9:$QF$91,3,FALSE))</f>
        <v>0.63680229678201217</v>
      </c>
      <c r="QB102" s="1063">
        <f>VLOOKUP($PZ$102,$PZ$9:$QF$91,3,FALSE)/(VLOOKUP($PZ$102,$PZ$9:$QF$91,2,FALSE)+VLOOKUP($PZ$102,$PZ$9:$QF$91,3,FALSE))</f>
        <v>0.36319770321798783</v>
      </c>
      <c r="QC102" s="1063">
        <f>VLOOKUP($PZ$102,$PZ$9:$QF$91,4,FALSE)/(VLOOKUP($PZ$102,$PZ$9:$QF$91,3,FALSE))</f>
        <v>0.77398021336957923</v>
      </c>
      <c r="QD102" s="1063">
        <f>VLOOKUP($PZ$102,$PZ$9:$QF$91,5,FALSE)/(VLOOKUP($PZ$102,$PZ$9:$QF$91,3,FALSE))</f>
        <v>8.5185459001793348E-2</v>
      </c>
      <c r="QE102" s="1063">
        <f>VLOOKUP($PZ$102,$PZ$9:$QF$91,6,FALSE)/(VLOOKUP($PZ$102,$PZ$9:$QF$91,3,FALSE))</f>
        <v>0.13702860493762689</v>
      </c>
      <c r="QF102" s="1064">
        <f>VLOOKUP($PZ$102,$PZ$9:$QF$91,7,FALSE)/(VLOOKUP($PZ$102,$PZ$9:$QF$91,3,FALSE))</f>
        <v>3.8057226910002862E-3</v>
      </c>
    </row>
    <row r="103" spans="1:448" ht="22.2" customHeight="1">
      <c r="B103" s="55"/>
      <c r="C103" s="55"/>
      <c r="D103" s="55"/>
      <c r="E103" s="55"/>
      <c r="X103" s="63"/>
      <c r="Y103" s="97"/>
      <c r="Z103" s="97"/>
      <c r="AA103" s="97"/>
      <c r="AB103" s="97"/>
      <c r="AJ103" s="63"/>
      <c r="BE103" s="426"/>
      <c r="BF103" s="426"/>
      <c r="BG103" s="426"/>
      <c r="BH103" s="426"/>
      <c r="BI103" s="426"/>
      <c r="BJ103" s="426"/>
      <c r="BK103" s="426"/>
      <c r="BL103" s="426"/>
      <c r="CP103" s="55"/>
      <c r="CQ103" s="55"/>
      <c r="CR103" s="55"/>
      <c r="CX103" s="160"/>
      <c r="DC103" s="160"/>
      <c r="DD103" s="160"/>
      <c r="DE103" s="160"/>
      <c r="DF103" s="63"/>
      <c r="DG103" s="63"/>
      <c r="DH103" s="426"/>
      <c r="DI103" s="426"/>
      <c r="DJ103" s="63"/>
      <c r="DK103" s="63"/>
      <c r="DL103" s="63"/>
      <c r="DM103" s="63"/>
      <c r="DN103" s="426"/>
      <c r="DQ103" s="63"/>
      <c r="DR103" s="63"/>
      <c r="DT103" s="426"/>
      <c r="DW103" s="63"/>
      <c r="DX103" s="63"/>
      <c r="DY103" s="55"/>
      <c r="DZ103" s="63"/>
      <c r="ED103" s="63"/>
      <c r="EE103" s="63"/>
      <c r="FP103" s="63"/>
      <c r="FQ103" s="63"/>
      <c r="FT103" s="63"/>
      <c r="FU103" s="63"/>
      <c r="GA103" s="63"/>
      <c r="GC103" s="55"/>
      <c r="GD103" s="55"/>
      <c r="GE103" s="55"/>
      <c r="GF103" s="55"/>
      <c r="GG103" s="63"/>
      <c r="GH103" s="63"/>
      <c r="GI103" s="63"/>
      <c r="GJ103" s="63"/>
      <c r="GL103" s="63"/>
      <c r="GM103" s="63"/>
      <c r="GS103" s="63"/>
      <c r="GT103" s="63"/>
      <c r="GU103" s="63"/>
      <c r="GW103" s="63"/>
      <c r="GX103" s="63"/>
      <c r="HD103" s="55"/>
      <c r="HE103" s="55"/>
      <c r="HF103" s="55"/>
      <c r="HG103" s="55"/>
      <c r="HH103" s="55"/>
      <c r="HI103" s="55"/>
      <c r="HJ103" s="55"/>
      <c r="HK103" s="55"/>
      <c r="HL103" s="55"/>
      <c r="HM103" s="55"/>
      <c r="HN103" s="55"/>
      <c r="HP103" s="63"/>
      <c r="HQ103" s="63"/>
      <c r="HR103" s="63"/>
      <c r="HS103" s="63"/>
      <c r="HT103" s="63"/>
      <c r="HU103" s="63"/>
      <c r="IA103" s="63"/>
      <c r="JP103" s="607"/>
      <c r="JQ103" s="605"/>
      <c r="JR103" s="605"/>
      <c r="JS103" s="605"/>
      <c r="JT103" s="605"/>
      <c r="KS103" s="63"/>
      <c r="KT103" s="63"/>
      <c r="KU103" s="63"/>
      <c r="KV103" s="63"/>
      <c r="KW103" s="63"/>
      <c r="KX103" s="63"/>
      <c r="KY103" s="63"/>
      <c r="KZ103" s="63"/>
      <c r="LA103" s="63"/>
      <c r="LB103" s="63"/>
      <c r="LC103" s="426"/>
      <c r="LD103" s="426"/>
      <c r="LE103" s="426"/>
      <c r="LF103" s="426"/>
      <c r="LG103" s="426"/>
      <c r="LH103" s="426"/>
      <c r="MW103" s="202" t="s">
        <v>0</v>
      </c>
      <c r="MX103" s="801">
        <f>IF($MX$99=2009,VLOOKUP($MW103,$MW$9:$NF$91,3,FALSE)/VLOOKUP($MW103,$MW$9:$NF$91,2,FALSE),VLOOKUP($MW103,$MW$9:$NF$91,6,FALSE)/VLOOKUP($MW103,$MW$9:$NF$91,5,FALSE))</f>
        <v>0.91526844353767778</v>
      </c>
      <c r="MY103" s="804">
        <f>IF($MX$99=2009,VLOOKUP($MW103,$MW$9:$NF$92,4,FALSE)/VLOOKUP($MW103,$MW$9:$NF$92,2,FALSE),VLOOKUP($MW103,$MW$9:$NF$92,7,FALSE)/VLOOKUP($MW103,$MW$9:$NF$92,5,FALSE))</f>
        <v>8.4731556243793138E-2</v>
      </c>
      <c r="MZ103" s="764">
        <f t="shared" si="1388"/>
        <v>0.89471151401186366</v>
      </c>
      <c r="NA103" s="804">
        <f t="shared" si="1389"/>
        <v>0.10528848598813642</v>
      </c>
      <c r="NY103" s="55"/>
      <c r="NZ103" s="55"/>
      <c r="OA103" s="55"/>
      <c r="OB103" s="55"/>
      <c r="OC103" s="55"/>
      <c r="OD103" s="55"/>
      <c r="OE103" s="55"/>
      <c r="OF103" s="55"/>
      <c r="OG103" s="55"/>
      <c r="OH103" s="55"/>
      <c r="OI103" s="55"/>
      <c r="OJ103" s="55"/>
      <c r="OK103" s="55"/>
      <c r="OL103" s="55"/>
      <c r="OM103" s="55"/>
      <c r="ON103" s="55"/>
      <c r="OO103" s="55"/>
      <c r="OP103" s="55"/>
      <c r="OQ103" s="55"/>
      <c r="OR103" s="55"/>
      <c r="OS103" s="55"/>
      <c r="OT103" s="55"/>
      <c r="OU103" s="55"/>
      <c r="OV103" s="55"/>
      <c r="OW103" s="55"/>
      <c r="OX103" s="55"/>
      <c r="OY103" s="55"/>
      <c r="OZ103" s="55"/>
      <c r="PA103" s="55"/>
      <c r="PC103" s="55"/>
      <c r="PD103" s="55"/>
      <c r="PE103" s="55"/>
      <c r="PF103" s="55"/>
      <c r="PG103" s="55"/>
      <c r="PH103" s="55"/>
      <c r="PI103" s="55"/>
      <c r="PJ103" s="55"/>
      <c r="PK103" s="55"/>
      <c r="PL103" s="55"/>
      <c r="PM103" s="55"/>
      <c r="PN103" s="55"/>
      <c r="PO103" s="55"/>
      <c r="PQ103" s="65"/>
      <c r="PR103" s="65"/>
      <c r="PS103" s="65"/>
      <c r="PT103" s="65"/>
      <c r="PU103" s="65"/>
      <c r="PV103" s="65"/>
      <c r="PZ103" s="65"/>
      <c r="QA103" s="65"/>
      <c r="QB103" s="65"/>
      <c r="QC103" s="65"/>
      <c r="QE103" s="65"/>
    </row>
    <row r="104" spans="1:448" ht="25.2" customHeight="1">
      <c r="B104" s="55"/>
      <c r="C104" s="55"/>
      <c r="D104" s="55"/>
      <c r="E104" s="55"/>
      <c r="X104" s="63"/>
      <c r="Y104" s="97"/>
      <c r="Z104" s="97"/>
      <c r="AA104" s="97"/>
      <c r="AB104" s="97"/>
      <c r="AJ104" s="63"/>
      <c r="BE104" s="426"/>
      <c r="BF104" s="426"/>
      <c r="BG104" s="426"/>
      <c r="BH104" s="426"/>
      <c r="BI104" s="426"/>
      <c r="BJ104" s="426"/>
      <c r="BK104" s="426"/>
      <c r="BL104" s="426"/>
      <c r="CP104" s="55"/>
      <c r="CQ104" s="55"/>
      <c r="CR104" s="55"/>
      <c r="CX104" s="160"/>
      <c r="DC104" s="160"/>
      <c r="DD104" s="160"/>
      <c r="DE104" s="160"/>
      <c r="DF104" s="63"/>
      <c r="DG104" s="63"/>
      <c r="DH104" s="426"/>
      <c r="DI104" s="426"/>
      <c r="DJ104" s="63"/>
      <c r="DK104" s="63"/>
      <c r="DL104" s="63"/>
      <c r="DM104" s="63"/>
      <c r="DN104" s="426"/>
      <c r="DQ104" s="63"/>
      <c r="DR104" s="63"/>
      <c r="DT104" s="426"/>
      <c r="DW104" s="63"/>
      <c r="DX104" s="63"/>
      <c r="DZ104" s="63"/>
      <c r="ED104" s="63"/>
      <c r="EE104" s="63"/>
      <c r="FP104" s="63"/>
      <c r="FQ104" s="63"/>
      <c r="FT104" s="63"/>
      <c r="FU104" s="63"/>
      <c r="GA104" s="63"/>
      <c r="GC104" s="63"/>
      <c r="GD104" s="63"/>
      <c r="GE104" s="63"/>
      <c r="GF104" s="63"/>
      <c r="GG104" s="63"/>
      <c r="GH104" s="63"/>
      <c r="GI104" s="63"/>
      <c r="GJ104" s="63"/>
      <c r="GL104" s="63"/>
      <c r="GM104" s="63"/>
      <c r="GS104" s="63"/>
      <c r="GT104" s="63"/>
      <c r="GU104" s="63"/>
      <c r="GW104" s="63"/>
      <c r="GX104" s="63"/>
      <c r="HP104" s="63"/>
      <c r="HQ104" s="63"/>
      <c r="HR104" s="63"/>
      <c r="HS104" s="63"/>
      <c r="HT104" s="63"/>
      <c r="HU104" s="63"/>
      <c r="IA104" s="63"/>
      <c r="JW104" s="337"/>
      <c r="KR104" s="63"/>
      <c r="KS104" s="63"/>
      <c r="KT104" s="63"/>
      <c r="KU104" s="63"/>
      <c r="KV104" s="63"/>
      <c r="KW104" s="63"/>
      <c r="KX104" s="63"/>
      <c r="KY104" s="63"/>
      <c r="KZ104" s="63"/>
      <c r="LA104" s="63"/>
      <c r="LB104" s="426"/>
      <c r="LC104" s="426"/>
      <c r="LD104" s="426"/>
      <c r="LE104" s="426"/>
      <c r="LF104" s="426"/>
      <c r="LG104" s="426"/>
      <c r="LH104" s="426"/>
      <c r="NX104" s="55"/>
      <c r="NY104" s="55"/>
      <c r="NZ104" s="55"/>
      <c r="OA104" s="55"/>
      <c r="OB104" s="55"/>
      <c r="OC104" s="55"/>
      <c r="OD104" s="55"/>
      <c r="OE104" s="55"/>
      <c r="OF104" s="55"/>
      <c r="OG104" s="55"/>
      <c r="OH104" s="55"/>
      <c r="OI104" s="55"/>
      <c r="OJ104" s="55"/>
      <c r="OK104" s="55"/>
      <c r="OL104" s="55"/>
      <c r="OM104" s="55"/>
      <c r="ON104" s="55"/>
      <c r="OO104" s="55"/>
      <c r="OP104" s="55"/>
      <c r="OQ104" s="55"/>
      <c r="OR104" s="55"/>
      <c r="OS104" s="55"/>
      <c r="OT104" s="55"/>
      <c r="OU104" s="55"/>
      <c r="OV104" s="55"/>
      <c r="OW104" s="55"/>
      <c r="OX104" s="55"/>
      <c r="OY104" s="55"/>
      <c r="OZ104" s="55"/>
      <c r="PB104" s="55"/>
      <c r="PC104" s="55"/>
      <c r="PD104" s="55"/>
      <c r="PE104" s="55"/>
      <c r="PF104" s="55"/>
      <c r="PG104" s="55"/>
      <c r="PH104" s="55"/>
      <c r="PI104" s="55"/>
      <c r="PJ104" s="55"/>
      <c r="PK104" s="55"/>
      <c r="PL104" s="55"/>
      <c r="PM104" s="55"/>
      <c r="PN104" s="55"/>
      <c r="PP104" s="65"/>
      <c r="PQ104" s="65"/>
      <c r="PR104" s="65"/>
      <c r="PS104" s="65"/>
      <c r="PT104" s="65"/>
      <c r="PU104" s="65"/>
      <c r="PV104" s="65"/>
      <c r="PZ104" s="65"/>
      <c r="QA104" s="65"/>
      <c r="QB104" s="65"/>
      <c r="QC104" s="65"/>
      <c r="QE104" s="65"/>
    </row>
    <row r="105" spans="1:448" ht="15" customHeight="1">
      <c r="X105" s="63"/>
      <c r="Y105" s="97"/>
      <c r="Z105" s="97"/>
      <c r="AA105" s="97"/>
      <c r="AB105" s="97"/>
      <c r="AJ105" s="63"/>
      <c r="BE105" s="426"/>
      <c r="BF105" s="426"/>
      <c r="BG105" s="426"/>
      <c r="BH105" s="426"/>
      <c r="BI105" s="426"/>
      <c r="BJ105" s="426"/>
      <c r="BK105" s="426"/>
      <c r="BL105" s="426"/>
      <c r="CP105" s="55"/>
      <c r="CQ105" s="55"/>
      <c r="CR105" s="55"/>
      <c r="CX105" s="160"/>
      <c r="DC105" s="160"/>
      <c r="DD105" s="160"/>
      <c r="DE105" s="160"/>
      <c r="DF105" s="63"/>
      <c r="DG105" s="63"/>
      <c r="DH105" s="426"/>
      <c r="DI105" s="426"/>
      <c r="DJ105" s="63"/>
      <c r="DK105" s="63"/>
      <c r="DL105" s="63"/>
      <c r="DM105" s="63"/>
      <c r="DN105" s="426"/>
      <c r="DQ105" s="63"/>
      <c r="DR105" s="63"/>
      <c r="DT105" s="426"/>
      <c r="DW105" s="63"/>
      <c r="DX105" s="63"/>
      <c r="DZ105" s="63"/>
      <c r="ED105" s="63"/>
      <c r="EE105" s="63"/>
      <c r="FP105" s="63"/>
      <c r="FQ105" s="63"/>
      <c r="FR105" s="63"/>
      <c r="FS105" s="63"/>
      <c r="FT105" s="63"/>
      <c r="FU105" s="63"/>
      <c r="FV105" s="63"/>
      <c r="FW105" s="63"/>
      <c r="FX105" s="63"/>
      <c r="FY105" s="63"/>
      <c r="FZ105" s="63"/>
      <c r="GA105" s="63"/>
      <c r="GC105" s="63"/>
      <c r="GD105" s="63"/>
      <c r="GE105" s="63"/>
      <c r="GF105" s="63"/>
      <c r="GG105" s="63"/>
      <c r="GH105" s="63"/>
      <c r="GI105" s="63"/>
      <c r="GJ105" s="63"/>
      <c r="GL105" s="63"/>
      <c r="GM105" s="63"/>
      <c r="GS105" s="63"/>
      <c r="GT105" s="63"/>
      <c r="GU105" s="63"/>
      <c r="GW105" s="63"/>
      <c r="GX105" s="63"/>
      <c r="HP105" s="63"/>
      <c r="HQ105" s="63"/>
      <c r="HR105" s="63"/>
      <c r="HS105" s="63"/>
      <c r="HT105" s="63"/>
      <c r="HU105" s="63"/>
      <c r="IA105" s="63"/>
      <c r="KR105" s="63"/>
      <c r="KS105" s="63"/>
      <c r="KT105" s="63"/>
      <c r="KU105" s="63"/>
      <c r="KV105" s="63"/>
      <c r="KW105" s="63"/>
      <c r="KX105" s="63"/>
      <c r="KY105" s="63"/>
      <c r="KZ105" s="63"/>
      <c r="LA105" s="63"/>
      <c r="LB105" s="426"/>
      <c r="LC105" s="426"/>
      <c r="LD105" s="426"/>
      <c r="LE105" s="426"/>
      <c r="LF105" s="426"/>
      <c r="LG105" s="426"/>
      <c r="LH105" s="426"/>
      <c r="NX105" s="55"/>
      <c r="NY105" s="55"/>
      <c r="NZ105" s="55"/>
      <c r="OA105" s="55"/>
      <c r="OB105" s="55"/>
      <c r="OC105" s="55"/>
      <c r="OD105" s="55"/>
      <c r="OE105" s="55"/>
      <c r="OF105" s="55"/>
      <c r="OG105" s="55"/>
      <c r="OH105" s="55"/>
      <c r="OI105" s="55"/>
      <c r="OJ105" s="55"/>
      <c r="OK105" s="55"/>
      <c r="OL105" s="55"/>
      <c r="OM105" s="55"/>
      <c r="ON105" s="55"/>
      <c r="OO105" s="55"/>
      <c r="OP105" s="55"/>
      <c r="OQ105" s="55"/>
      <c r="OR105" s="55"/>
      <c r="OS105" s="55"/>
      <c r="OT105" s="55"/>
      <c r="OU105" s="55"/>
      <c r="OV105" s="55"/>
      <c r="OW105" s="55"/>
      <c r="OX105" s="55"/>
      <c r="OY105" s="55"/>
      <c r="OZ105" s="55"/>
      <c r="PB105" s="55"/>
      <c r="PC105" s="55"/>
      <c r="PD105" s="55"/>
      <c r="PE105" s="55"/>
      <c r="PF105" s="55"/>
      <c r="PG105" s="55"/>
      <c r="PH105" s="55"/>
      <c r="PI105" s="55"/>
      <c r="PJ105" s="55"/>
      <c r="PK105" s="55"/>
      <c r="PL105" s="55"/>
      <c r="PM105" s="55"/>
      <c r="PN105" s="55"/>
      <c r="PP105" s="65"/>
      <c r="PQ105" s="65"/>
      <c r="PR105" s="65"/>
      <c r="PS105" s="65"/>
      <c r="PT105" s="65"/>
      <c r="PU105" s="65"/>
      <c r="PV105" s="65"/>
      <c r="PZ105" s="65"/>
      <c r="QA105" s="65"/>
      <c r="QB105" s="65"/>
      <c r="QC105" s="65"/>
      <c r="QE105" s="65"/>
    </row>
    <row r="106" spans="1:448" ht="15" customHeight="1">
      <c r="X106" s="63"/>
      <c r="Y106" s="97"/>
      <c r="Z106" s="97"/>
      <c r="AA106" s="97"/>
      <c r="AB106" s="97"/>
      <c r="AJ106" s="63"/>
      <c r="CS106" s="426"/>
      <c r="CT106" s="426"/>
      <c r="CU106" s="426"/>
      <c r="CV106" s="426"/>
      <c r="CW106" s="426"/>
      <c r="DG106" s="55"/>
      <c r="DH106" s="55"/>
      <c r="DI106" s="55"/>
      <c r="DJ106" s="55"/>
      <c r="DO106" s="63"/>
      <c r="DR106" s="63"/>
      <c r="DS106" s="63"/>
      <c r="DU106" s="63"/>
      <c r="DZ106" s="63"/>
      <c r="EE106" s="63"/>
      <c r="EF106" s="63"/>
      <c r="EG106" s="63"/>
      <c r="EH106" s="63"/>
      <c r="EL106" s="63"/>
      <c r="EM106" s="63"/>
      <c r="FX106" s="63"/>
      <c r="FY106" s="63"/>
      <c r="FZ106" s="63"/>
      <c r="GA106" s="63"/>
      <c r="GB106" s="63"/>
      <c r="GC106" s="63"/>
      <c r="GD106" s="63"/>
      <c r="GE106" s="63"/>
      <c r="GF106" s="63"/>
      <c r="GG106" s="63"/>
      <c r="GH106" s="63"/>
      <c r="GI106" s="63"/>
      <c r="GK106" s="63"/>
      <c r="GL106" s="63"/>
      <c r="GM106" s="63"/>
      <c r="GN106" s="63"/>
      <c r="GO106" s="63"/>
      <c r="GP106" s="63"/>
      <c r="GQ106" s="63"/>
      <c r="GR106" s="63"/>
      <c r="GT106" s="63"/>
      <c r="GU106" s="63"/>
      <c r="HA106" s="63"/>
      <c r="HB106" s="63"/>
      <c r="HC106" s="63"/>
      <c r="HE106" s="63"/>
      <c r="HF106" s="63"/>
      <c r="HX106" s="63"/>
      <c r="HY106" s="63"/>
      <c r="HZ106" s="63"/>
      <c r="IA106" s="63"/>
      <c r="IB106" s="63"/>
      <c r="IC106" s="63"/>
      <c r="II106" s="63"/>
      <c r="KZ106" s="63"/>
      <c r="LA106" s="63"/>
      <c r="LB106" s="63"/>
      <c r="LC106" s="63"/>
      <c r="LD106" s="63"/>
      <c r="LE106" s="63"/>
      <c r="LF106" s="63"/>
      <c r="LG106" s="63"/>
      <c r="LH106" s="63"/>
      <c r="LI106" s="63"/>
      <c r="OF106" s="55"/>
      <c r="OG106" s="55"/>
      <c r="OH106" s="55"/>
      <c r="OI106" s="55"/>
      <c r="OJ106" s="55"/>
      <c r="OK106" s="55"/>
      <c r="OL106" s="55"/>
      <c r="OM106" s="55"/>
      <c r="ON106" s="55"/>
      <c r="OO106" s="55"/>
      <c r="OP106" s="55"/>
      <c r="OQ106" s="55"/>
      <c r="OR106" s="55"/>
      <c r="OS106" s="55"/>
      <c r="OT106" s="55"/>
      <c r="OU106" s="55"/>
      <c r="OV106" s="55"/>
      <c r="OW106" s="55"/>
      <c r="OX106" s="55"/>
      <c r="OY106" s="55"/>
      <c r="OZ106" s="55"/>
      <c r="PA106" s="55"/>
      <c r="PB106" s="55"/>
      <c r="PC106" s="55"/>
      <c r="PD106" s="55"/>
      <c r="PE106" s="55"/>
      <c r="PF106" s="55"/>
      <c r="PG106" s="55"/>
      <c r="PH106" s="55"/>
      <c r="PJ106" s="55"/>
      <c r="PK106" s="55"/>
      <c r="PL106" s="55"/>
      <c r="PM106" s="55"/>
      <c r="PN106" s="55"/>
      <c r="PO106" s="55"/>
      <c r="PP106" s="55"/>
      <c r="PQ106" s="55"/>
      <c r="PR106" s="55"/>
      <c r="PS106" s="55"/>
      <c r="PT106" s="55"/>
      <c r="PU106" s="55"/>
      <c r="PZ106" s="55"/>
      <c r="QA106" s="55"/>
      <c r="QB106" s="55"/>
      <c r="QC106" s="55"/>
    </row>
    <row r="107" spans="1:448" ht="15" customHeight="1">
      <c r="X107" s="63"/>
      <c r="Y107" s="97"/>
      <c r="Z107" s="97"/>
      <c r="AA107" s="97"/>
      <c r="AB107" s="97"/>
      <c r="AJ107" s="63"/>
      <c r="CS107" s="426"/>
      <c r="CT107" s="426"/>
      <c r="CU107" s="426"/>
      <c r="CV107" s="426"/>
      <c r="CW107" s="426"/>
      <c r="DG107" s="55"/>
      <c r="DH107" s="55"/>
      <c r="DI107" s="55"/>
      <c r="DJ107" s="55"/>
      <c r="DO107" s="63"/>
      <c r="DR107" s="63"/>
      <c r="DS107" s="63"/>
      <c r="DU107" s="63"/>
      <c r="DZ107" s="63"/>
      <c r="EE107" s="63"/>
      <c r="EF107" s="63"/>
      <c r="EG107" s="63"/>
      <c r="EH107" s="63"/>
      <c r="EL107" s="63"/>
      <c r="EM107" s="63"/>
      <c r="FX107" s="63"/>
      <c r="FY107" s="63"/>
      <c r="GB107" s="63"/>
      <c r="GC107" s="63"/>
      <c r="GI107" s="63"/>
      <c r="GK107" s="63"/>
      <c r="GL107" s="63"/>
      <c r="GM107" s="63"/>
      <c r="GN107" s="63"/>
      <c r="GO107" s="63"/>
      <c r="GP107" s="63"/>
      <c r="GQ107" s="63"/>
      <c r="GR107" s="63"/>
      <c r="GT107" s="63"/>
      <c r="GU107" s="63"/>
      <c r="HA107" s="63"/>
      <c r="HB107" s="63"/>
      <c r="HC107" s="63"/>
      <c r="HE107" s="63"/>
      <c r="HF107" s="63"/>
      <c r="HX107" s="63"/>
      <c r="HY107" s="63"/>
      <c r="HZ107" s="63"/>
      <c r="IA107" s="63"/>
      <c r="IB107" s="63"/>
      <c r="IC107" s="63"/>
      <c r="II107" s="63"/>
      <c r="KZ107" s="63"/>
      <c r="LA107" s="63"/>
      <c r="LB107" s="63"/>
      <c r="LC107" s="63"/>
      <c r="LD107" s="63"/>
      <c r="LE107" s="63"/>
      <c r="LF107" s="63"/>
      <c r="LG107" s="63"/>
      <c r="LH107" s="63"/>
      <c r="OF107" s="55"/>
      <c r="OG107" s="55"/>
      <c r="OH107" s="55"/>
      <c r="OI107" s="55"/>
      <c r="OJ107" s="55"/>
      <c r="OK107" s="55"/>
      <c r="OL107" s="55"/>
      <c r="OM107" s="55"/>
      <c r="ON107" s="55"/>
      <c r="OO107" s="55"/>
      <c r="OP107" s="55"/>
      <c r="OQ107" s="55"/>
      <c r="OR107" s="55"/>
      <c r="OS107" s="55"/>
      <c r="OT107" s="55"/>
      <c r="OU107" s="55"/>
      <c r="OV107" s="55"/>
      <c r="OW107" s="55"/>
      <c r="OX107" s="55"/>
      <c r="OY107" s="55"/>
      <c r="OZ107" s="55"/>
      <c r="PA107" s="55"/>
      <c r="PB107" s="55"/>
      <c r="PC107" s="55"/>
      <c r="PD107" s="55"/>
      <c r="PE107" s="55"/>
      <c r="PF107" s="55"/>
      <c r="PG107" s="55"/>
      <c r="PH107" s="55"/>
      <c r="PJ107" s="55"/>
      <c r="PK107" s="55"/>
      <c r="PL107" s="55"/>
      <c r="PM107" s="55"/>
      <c r="PN107" s="55"/>
      <c r="PO107" s="55"/>
      <c r="PP107" s="55"/>
      <c r="PQ107" s="55"/>
      <c r="PR107" s="55"/>
      <c r="PS107" s="55"/>
      <c r="PT107" s="55"/>
      <c r="PU107" s="55"/>
      <c r="PZ107" s="55"/>
      <c r="QA107" s="55"/>
      <c r="QB107" s="55"/>
      <c r="QC107" s="55"/>
    </row>
    <row r="108" spans="1:448" ht="15" customHeight="1">
      <c r="X108" s="63"/>
      <c r="Y108" s="97"/>
      <c r="Z108" s="97"/>
      <c r="AA108" s="97"/>
      <c r="AB108" s="97"/>
      <c r="AJ108" s="63"/>
      <c r="CS108" s="426"/>
      <c r="CT108" s="426"/>
      <c r="CU108" s="426"/>
      <c r="CV108" s="426"/>
      <c r="CW108" s="426"/>
      <c r="DG108" s="55"/>
      <c r="DH108" s="55"/>
      <c r="DI108" s="55"/>
      <c r="DJ108" s="55"/>
      <c r="DO108" s="63"/>
      <c r="DR108" s="63"/>
      <c r="DS108" s="63"/>
      <c r="DU108" s="63"/>
      <c r="DZ108" s="63"/>
      <c r="EE108" s="63"/>
      <c r="EF108" s="63"/>
      <c r="EG108" s="63"/>
      <c r="EH108" s="63"/>
      <c r="EL108" s="63"/>
      <c r="EM108" s="63"/>
      <c r="FX108" s="63"/>
      <c r="FY108" s="63"/>
      <c r="GB108" s="63"/>
      <c r="GC108" s="63"/>
      <c r="GI108" s="63"/>
      <c r="GK108" s="63"/>
      <c r="GL108" s="63"/>
      <c r="GM108" s="63"/>
      <c r="GN108" s="63"/>
      <c r="GO108" s="63"/>
      <c r="GP108" s="63"/>
      <c r="GQ108" s="63"/>
      <c r="GR108" s="63"/>
      <c r="GT108" s="63"/>
      <c r="GU108" s="63"/>
      <c r="HA108" s="63"/>
      <c r="HB108" s="63"/>
      <c r="HC108" s="63"/>
      <c r="HE108" s="63"/>
      <c r="HF108" s="63"/>
      <c r="HX108" s="63"/>
      <c r="HY108" s="63"/>
      <c r="HZ108" s="63"/>
      <c r="IA108" s="63"/>
      <c r="IB108" s="63"/>
      <c r="IC108" s="63"/>
      <c r="II108" s="63"/>
      <c r="KZ108" s="63"/>
      <c r="LA108" s="63"/>
      <c r="LB108" s="63"/>
      <c r="LC108" s="63"/>
      <c r="LD108" s="63"/>
      <c r="LE108" s="63"/>
      <c r="LF108" s="63"/>
      <c r="LG108" s="63"/>
      <c r="LH108" s="63"/>
      <c r="OF108" s="55"/>
      <c r="OG108" s="55"/>
      <c r="OH108" s="55"/>
      <c r="OI108" s="55"/>
      <c r="OJ108" s="55"/>
      <c r="OK108" s="55"/>
      <c r="OL108" s="55"/>
      <c r="OM108" s="55"/>
      <c r="ON108" s="55"/>
      <c r="OO108" s="55"/>
      <c r="OP108" s="55"/>
      <c r="OQ108" s="55"/>
      <c r="OR108" s="55"/>
      <c r="OS108" s="55"/>
      <c r="OT108" s="55"/>
      <c r="OU108" s="55"/>
      <c r="OV108" s="55"/>
      <c r="OW108" s="55"/>
      <c r="OX108" s="55"/>
      <c r="OY108" s="55"/>
      <c r="OZ108" s="55"/>
      <c r="PA108" s="55"/>
      <c r="PB108" s="55"/>
      <c r="PC108" s="55"/>
      <c r="PD108" s="55"/>
      <c r="PE108" s="55"/>
      <c r="PF108" s="55"/>
      <c r="PG108" s="55"/>
      <c r="PH108" s="55"/>
      <c r="PJ108" s="55"/>
      <c r="PK108" s="55"/>
      <c r="PL108" s="55"/>
      <c r="PM108" s="55"/>
      <c r="PN108" s="55"/>
      <c r="PO108" s="55"/>
      <c r="PP108" s="55"/>
      <c r="PQ108" s="55"/>
      <c r="PR108" s="55"/>
      <c r="PS108" s="55"/>
      <c r="PT108" s="55"/>
      <c r="PU108" s="55"/>
      <c r="PZ108" s="55"/>
      <c r="QA108" s="55"/>
      <c r="QB108" s="55"/>
      <c r="QC108" s="55"/>
    </row>
    <row r="109" spans="1:448" ht="15" customHeight="1">
      <c r="X109" s="63"/>
      <c r="Y109" s="97"/>
      <c r="Z109" s="97"/>
      <c r="AA109" s="97"/>
      <c r="AB109" s="97"/>
      <c r="AJ109" s="63"/>
      <c r="BN109" s="63"/>
      <c r="CS109" s="426"/>
      <c r="CT109" s="426"/>
      <c r="CU109" s="426"/>
      <c r="CV109" s="426"/>
      <c r="CW109" s="426"/>
      <c r="DG109" s="55"/>
      <c r="DH109" s="55"/>
      <c r="DI109" s="55"/>
      <c r="DJ109" s="55"/>
      <c r="DO109" s="63"/>
      <c r="DR109" s="63"/>
      <c r="DS109" s="63"/>
      <c r="DU109" s="63"/>
      <c r="DZ109" s="63"/>
      <c r="EE109" s="63"/>
      <c r="EF109" s="63"/>
      <c r="EG109" s="63"/>
      <c r="EH109" s="63"/>
      <c r="EL109" s="63"/>
      <c r="EM109" s="63"/>
      <c r="FX109" s="63"/>
      <c r="FY109" s="63"/>
      <c r="GB109" s="63"/>
      <c r="GC109" s="63"/>
      <c r="GI109" s="63"/>
      <c r="GK109" s="63"/>
      <c r="GL109" s="63"/>
      <c r="GM109" s="63"/>
      <c r="GN109" s="63"/>
      <c r="GO109" s="63"/>
      <c r="GP109" s="63"/>
      <c r="GQ109" s="63"/>
      <c r="GR109" s="63"/>
      <c r="GT109" s="63"/>
      <c r="GU109" s="63"/>
      <c r="HA109" s="63"/>
      <c r="HB109" s="63"/>
      <c r="HC109" s="63"/>
      <c r="HE109" s="63"/>
      <c r="HF109" s="63"/>
      <c r="HX109" s="63"/>
      <c r="HY109" s="63"/>
      <c r="HZ109" s="63"/>
      <c r="IA109" s="63"/>
      <c r="IB109" s="63"/>
      <c r="IC109" s="63"/>
      <c r="II109" s="63"/>
      <c r="KZ109" s="63"/>
      <c r="LA109" s="63"/>
      <c r="LB109" s="63"/>
      <c r="LC109" s="63"/>
      <c r="LD109" s="63"/>
      <c r="LE109" s="63"/>
      <c r="LF109" s="63"/>
      <c r="LG109" s="63"/>
      <c r="LH109" s="63"/>
      <c r="OF109" s="55"/>
      <c r="OG109" s="55"/>
      <c r="OH109" s="55"/>
      <c r="OI109" s="55"/>
      <c r="OJ109" s="55"/>
      <c r="OK109" s="55"/>
      <c r="OL109" s="55"/>
      <c r="OM109" s="55"/>
      <c r="ON109" s="55"/>
      <c r="OO109" s="55"/>
      <c r="OP109" s="55"/>
      <c r="OQ109" s="55"/>
      <c r="OR109" s="55"/>
      <c r="OS109" s="55"/>
      <c r="OT109" s="55"/>
      <c r="OU109" s="55"/>
      <c r="OV109" s="55"/>
      <c r="OW109" s="55"/>
      <c r="OX109" s="55"/>
      <c r="OY109" s="55"/>
      <c r="OZ109" s="55"/>
      <c r="PA109" s="55"/>
      <c r="PB109" s="55"/>
      <c r="PC109" s="55"/>
      <c r="PD109" s="55"/>
      <c r="PE109" s="55"/>
      <c r="PF109" s="55"/>
      <c r="PG109" s="55"/>
      <c r="PH109" s="55"/>
      <c r="PJ109" s="55"/>
      <c r="PK109" s="55"/>
      <c r="PL109" s="55"/>
      <c r="PM109" s="55"/>
      <c r="PN109" s="55"/>
      <c r="PO109" s="55"/>
      <c r="PP109" s="55"/>
      <c r="PQ109" s="55"/>
      <c r="PR109" s="55"/>
      <c r="PS109" s="55"/>
      <c r="PT109" s="55"/>
      <c r="PU109" s="55"/>
      <c r="PZ109" s="55"/>
      <c r="QA109" s="55"/>
      <c r="QB109" s="55"/>
      <c r="QC109" s="55"/>
    </row>
    <row r="110" spans="1:448" ht="15" customHeight="1">
      <c r="X110" s="63"/>
      <c r="Y110" s="97"/>
      <c r="Z110" s="97"/>
      <c r="AA110" s="97"/>
      <c r="AB110" s="97"/>
      <c r="AJ110" s="63"/>
      <c r="BN110" s="63"/>
      <c r="CH110" s="63"/>
      <c r="CI110" s="63"/>
      <c r="CJ110" s="63"/>
      <c r="CK110" s="63"/>
      <c r="CL110" s="63"/>
      <c r="CM110" s="63"/>
      <c r="CN110" s="63"/>
      <c r="CO110" s="63"/>
      <c r="CP110" s="63"/>
      <c r="CQ110" s="63"/>
      <c r="CS110" s="426"/>
      <c r="CT110" s="426"/>
      <c r="CU110" s="426"/>
      <c r="CV110" s="426"/>
      <c r="CW110" s="426"/>
      <c r="DG110" s="55"/>
      <c r="DH110" s="55"/>
      <c r="DI110" s="55"/>
      <c r="DJ110" s="55"/>
      <c r="DO110" s="63"/>
      <c r="DR110" s="63"/>
      <c r="DS110" s="63"/>
      <c r="DU110" s="63"/>
      <c r="DZ110" s="63"/>
      <c r="EE110" s="63"/>
      <c r="EF110" s="63"/>
      <c r="EG110" s="63"/>
      <c r="EH110" s="63"/>
      <c r="EL110" s="63"/>
      <c r="EM110" s="63"/>
      <c r="FX110" s="63"/>
      <c r="FY110" s="63"/>
      <c r="GB110" s="63"/>
      <c r="GC110" s="63"/>
      <c r="GI110" s="63"/>
      <c r="GK110" s="63"/>
      <c r="GL110" s="63"/>
      <c r="GM110" s="63"/>
      <c r="GN110" s="63"/>
      <c r="GO110" s="63"/>
      <c r="GP110" s="63"/>
      <c r="GQ110" s="63"/>
      <c r="GR110" s="63"/>
      <c r="GT110" s="63"/>
      <c r="GU110" s="63"/>
      <c r="HA110" s="63"/>
      <c r="HB110" s="63"/>
      <c r="HC110" s="63"/>
      <c r="HE110" s="63"/>
      <c r="HF110" s="63"/>
      <c r="HX110" s="63"/>
      <c r="HY110" s="63"/>
      <c r="HZ110" s="63"/>
      <c r="IA110" s="63"/>
      <c r="IB110" s="63"/>
      <c r="IC110" s="63"/>
      <c r="II110" s="63"/>
      <c r="KZ110" s="63"/>
      <c r="LA110" s="63"/>
      <c r="LB110" s="63"/>
      <c r="LC110" s="63"/>
      <c r="LD110" s="63"/>
      <c r="LE110" s="63"/>
      <c r="LF110" s="63"/>
      <c r="LG110" s="63"/>
      <c r="LH110" s="63"/>
      <c r="OF110" s="55"/>
      <c r="OG110" s="55"/>
      <c r="OH110" s="55"/>
      <c r="OI110" s="55"/>
      <c r="OJ110" s="55"/>
      <c r="OK110" s="55"/>
      <c r="OL110" s="55"/>
      <c r="OM110" s="55"/>
      <c r="ON110" s="55"/>
      <c r="OO110" s="55"/>
      <c r="OP110" s="55"/>
      <c r="OQ110" s="55"/>
      <c r="OR110" s="55"/>
      <c r="OS110" s="55"/>
      <c r="OT110" s="55"/>
      <c r="OU110" s="55"/>
      <c r="OV110" s="55"/>
      <c r="OW110" s="55"/>
      <c r="OX110" s="55"/>
      <c r="OY110" s="55"/>
      <c r="OZ110" s="55"/>
      <c r="PA110" s="55"/>
      <c r="PB110" s="55"/>
      <c r="PC110" s="55"/>
      <c r="PD110" s="55"/>
      <c r="PE110" s="55"/>
      <c r="PF110" s="55"/>
      <c r="PG110" s="55"/>
      <c r="PH110" s="55"/>
      <c r="PJ110" s="55"/>
      <c r="PK110" s="55"/>
      <c r="PL110" s="55"/>
      <c r="PM110" s="55"/>
      <c r="PN110" s="55"/>
      <c r="PO110" s="55"/>
      <c r="PP110" s="55"/>
      <c r="PQ110" s="55"/>
      <c r="PR110" s="55"/>
      <c r="PS110" s="55"/>
      <c r="PT110" s="55"/>
      <c r="PU110" s="55"/>
      <c r="PZ110" s="55"/>
      <c r="QA110" s="55"/>
      <c r="QB110" s="55"/>
      <c r="QC110" s="55"/>
    </row>
    <row r="111" spans="1:448" ht="15" customHeight="1">
      <c r="X111" s="63"/>
      <c r="Y111" s="97"/>
      <c r="Z111" s="97"/>
      <c r="AA111" s="97"/>
      <c r="AB111" s="97"/>
      <c r="AJ111" s="63"/>
      <c r="BN111" s="63"/>
      <c r="CH111" s="63"/>
      <c r="CI111" s="63"/>
      <c r="CJ111" s="63"/>
      <c r="CK111" s="63"/>
      <c r="CL111" s="63"/>
      <c r="CM111" s="63"/>
      <c r="CN111" s="63"/>
      <c r="CO111" s="63"/>
      <c r="CP111" s="63"/>
      <c r="CQ111" s="63"/>
      <c r="CS111" s="426"/>
      <c r="CT111" s="426"/>
      <c r="CU111" s="426"/>
      <c r="CV111" s="426"/>
      <c r="CW111" s="426"/>
      <c r="DG111" s="55"/>
      <c r="DH111" s="55"/>
      <c r="DI111" s="55"/>
      <c r="DJ111" s="55"/>
      <c r="DO111" s="63"/>
      <c r="DR111" s="63"/>
      <c r="DS111" s="63"/>
      <c r="DU111" s="63"/>
      <c r="DZ111" s="63"/>
      <c r="EE111" s="63"/>
      <c r="EF111" s="63"/>
      <c r="EG111" s="63"/>
      <c r="EH111" s="63"/>
      <c r="EL111" s="63"/>
      <c r="EM111" s="63"/>
      <c r="FX111" s="63"/>
      <c r="FY111" s="63"/>
      <c r="FZ111" s="63"/>
      <c r="GA111" s="63"/>
      <c r="GB111" s="63"/>
      <c r="GC111" s="63"/>
      <c r="GD111" s="63"/>
      <c r="GE111" s="63"/>
      <c r="GF111" s="63"/>
      <c r="GG111" s="63"/>
      <c r="GH111" s="63"/>
      <c r="GI111" s="63"/>
      <c r="GK111" s="63"/>
      <c r="GL111" s="63"/>
      <c r="GM111" s="63"/>
      <c r="GN111" s="63"/>
      <c r="GO111" s="63"/>
      <c r="GP111" s="63"/>
      <c r="GQ111" s="63"/>
      <c r="GR111" s="63"/>
      <c r="GT111" s="63"/>
      <c r="GU111" s="63"/>
      <c r="HA111" s="63"/>
      <c r="HB111" s="63"/>
      <c r="HC111" s="63"/>
      <c r="HE111" s="63"/>
      <c r="HF111" s="63"/>
      <c r="HX111" s="63"/>
      <c r="HY111" s="63"/>
      <c r="HZ111" s="63"/>
      <c r="IA111" s="63"/>
      <c r="IB111" s="63"/>
      <c r="IC111" s="63"/>
      <c r="II111" s="63"/>
      <c r="KZ111" s="63"/>
      <c r="LA111" s="63"/>
      <c r="LB111" s="63"/>
      <c r="LC111" s="63"/>
      <c r="LD111" s="63"/>
      <c r="LE111" s="63"/>
      <c r="LF111" s="63"/>
      <c r="LG111" s="63"/>
      <c r="LH111" s="63"/>
      <c r="OF111" s="55"/>
      <c r="OG111" s="55"/>
      <c r="OH111" s="55"/>
      <c r="OI111" s="55"/>
      <c r="OJ111" s="55"/>
      <c r="OK111" s="55"/>
      <c r="OL111" s="55"/>
      <c r="OM111" s="55"/>
      <c r="ON111" s="55"/>
      <c r="OO111" s="55"/>
      <c r="OP111" s="55"/>
      <c r="OQ111" s="55"/>
      <c r="OR111" s="55"/>
      <c r="OS111" s="55"/>
      <c r="OT111" s="55"/>
      <c r="OU111" s="55"/>
      <c r="OV111" s="55"/>
      <c r="OW111" s="55"/>
      <c r="OX111" s="55"/>
      <c r="OY111" s="55"/>
      <c r="OZ111" s="55"/>
      <c r="PA111" s="55"/>
      <c r="PB111" s="55"/>
      <c r="PC111" s="55"/>
      <c r="PD111" s="55"/>
      <c r="PE111" s="55"/>
      <c r="PF111" s="55"/>
      <c r="PG111" s="55"/>
      <c r="PH111" s="55"/>
      <c r="PJ111" s="55"/>
      <c r="PK111" s="55"/>
      <c r="PL111" s="55"/>
      <c r="PM111" s="55"/>
      <c r="PN111" s="55"/>
      <c r="PO111" s="55"/>
      <c r="PP111" s="55"/>
      <c r="PQ111" s="55"/>
      <c r="PR111" s="55"/>
      <c r="PS111" s="55"/>
      <c r="PT111" s="55"/>
      <c r="PU111" s="55"/>
      <c r="PZ111" s="55"/>
      <c r="QA111" s="55"/>
      <c r="QB111" s="55"/>
      <c r="QC111" s="55"/>
    </row>
    <row r="112" spans="1:448" ht="15" customHeight="1">
      <c r="X112" s="63"/>
      <c r="Y112" s="97"/>
      <c r="Z112" s="97"/>
      <c r="AA112" s="97"/>
      <c r="AB112" s="97"/>
      <c r="AJ112" s="63"/>
      <c r="BN112" s="63"/>
      <c r="CH112" s="63"/>
      <c r="CI112" s="63"/>
      <c r="CJ112" s="63"/>
      <c r="CK112" s="63"/>
      <c r="CL112" s="63"/>
      <c r="CM112" s="63"/>
      <c r="CN112" s="63"/>
      <c r="CO112" s="63"/>
      <c r="CP112" s="63"/>
      <c r="CQ112" s="63"/>
      <c r="CS112" s="426"/>
      <c r="CT112" s="426"/>
      <c r="CU112" s="426"/>
      <c r="CV112" s="426"/>
      <c r="CW112" s="426"/>
      <c r="DG112" s="55"/>
      <c r="DH112" s="55"/>
      <c r="DI112" s="55"/>
      <c r="DJ112" s="55"/>
      <c r="DO112" s="63"/>
      <c r="DR112" s="63"/>
      <c r="DS112" s="63"/>
      <c r="DU112" s="63"/>
      <c r="DZ112" s="63"/>
      <c r="EE112" s="63"/>
      <c r="EF112" s="63"/>
      <c r="EG112" s="63"/>
      <c r="EH112" s="63"/>
      <c r="EL112" s="63"/>
      <c r="EM112" s="63"/>
      <c r="FX112" s="63"/>
      <c r="FY112" s="63"/>
      <c r="FZ112" s="63"/>
      <c r="GA112" s="63"/>
      <c r="GB112" s="63"/>
      <c r="GC112" s="63"/>
      <c r="GD112" s="63"/>
      <c r="GE112" s="63"/>
      <c r="GF112" s="63"/>
      <c r="GG112" s="63"/>
      <c r="GH112" s="63"/>
      <c r="GI112" s="63"/>
      <c r="GK112" s="63"/>
      <c r="GL112" s="63"/>
      <c r="GM112" s="63"/>
      <c r="GN112" s="63"/>
      <c r="GO112" s="63"/>
      <c r="GP112" s="63"/>
      <c r="GQ112" s="63"/>
      <c r="GR112" s="63"/>
      <c r="GT112" s="63"/>
      <c r="GU112" s="63"/>
      <c r="HA112" s="63"/>
      <c r="HB112" s="63"/>
      <c r="HC112" s="63"/>
      <c r="HE112" s="63"/>
      <c r="HF112" s="63"/>
      <c r="HX112" s="63"/>
      <c r="HY112" s="63"/>
      <c r="HZ112" s="63"/>
      <c r="IA112" s="63"/>
      <c r="IB112" s="63"/>
      <c r="IC112" s="63"/>
      <c r="II112" s="63"/>
      <c r="KZ112" s="63"/>
      <c r="LA112" s="63"/>
      <c r="LB112" s="63"/>
      <c r="LC112" s="63"/>
      <c r="LD112" s="63"/>
      <c r="LE112" s="63"/>
      <c r="LF112" s="63"/>
      <c r="LG112" s="63"/>
      <c r="LH112" s="63"/>
      <c r="OF112" s="55"/>
      <c r="OG112" s="55"/>
      <c r="OH112" s="55"/>
      <c r="OI112" s="55"/>
      <c r="OJ112" s="55"/>
      <c r="OK112" s="55"/>
      <c r="OL112" s="55"/>
      <c r="OM112" s="55"/>
      <c r="ON112" s="55"/>
      <c r="OO112" s="55"/>
      <c r="OP112" s="55"/>
      <c r="OQ112" s="55"/>
      <c r="OR112" s="55"/>
      <c r="OS112" s="55"/>
      <c r="OT112" s="55"/>
      <c r="OU112" s="55"/>
      <c r="OV112" s="55"/>
      <c r="OW112" s="55"/>
      <c r="OX112" s="55"/>
      <c r="OY112" s="55"/>
      <c r="OZ112" s="55"/>
      <c r="PA112" s="55"/>
      <c r="PB112" s="55"/>
      <c r="PC112" s="55"/>
      <c r="PD112" s="55"/>
      <c r="PE112" s="55"/>
      <c r="PF112" s="55"/>
      <c r="PG112" s="55"/>
      <c r="PH112" s="55"/>
      <c r="PJ112" s="55"/>
      <c r="PK112" s="55"/>
      <c r="PL112" s="55"/>
      <c r="PM112" s="55"/>
      <c r="PN112" s="55"/>
      <c r="PO112" s="55"/>
      <c r="PP112" s="55"/>
      <c r="PQ112" s="55"/>
      <c r="PR112" s="55"/>
      <c r="PS112" s="55"/>
      <c r="PT112" s="55"/>
      <c r="PU112" s="55"/>
      <c r="PZ112" s="55"/>
      <c r="QA112" s="55"/>
      <c r="QB112" s="55"/>
      <c r="QC112" s="55"/>
    </row>
    <row r="113" spans="24:445" ht="15" customHeight="1">
      <c r="X113" s="63"/>
      <c r="Y113" s="97"/>
      <c r="Z113" s="97"/>
      <c r="AA113" s="97"/>
      <c r="AB113" s="97"/>
      <c r="AJ113" s="63"/>
      <c r="BN113" s="63"/>
      <c r="CH113" s="63"/>
      <c r="CI113" s="63"/>
      <c r="CJ113" s="63"/>
      <c r="CK113" s="63"/>
      <c r="CL113" s="63"/>
      <c r="CM113" s="63"/>
      <c r="CN113" s="63"/>
      <c r="CO113" s="63"/>
      <c r="CP113" s="63"/>
      <c r="CQ113" s="63"/>
      <c r="CS113" s="426"/>
      <c r="CT113" s="426"/>
      <c r="CU113" s="426"/>
      <c r="CV113" s="426"/>
      <c r="CW113" s="426"/>
      <c r="DG113" s="55"/>
      <c r="DH113" s="55"/>
      <c r="DI113" s="55"/>
      <c r="DJ113" s="55"/>
      <c r="DO113" s="63"/>
      <c r="DR113" s="63"/>
      <c r="DS113" s="63"/>
      <c r="DU113" s="63"/>
      <c r="DZ113" s="63"/>
      <c r="EE113" s="63"/>
      <c r="EF113" s="63"/>
      <c r="EG113" s="63"/>
      <c r="EH113" s="63"/>
      <c r="EL113" s="63"/>
      <c r="EM113" s="63"/>
      <c r="FX113" s="63"/>
      <c r="FY113" s="63"/>
      <c r="FZ113" s="63"/>
      <c r="GA113" s="63"/>
      <c r="GB113" s="63"/>
      <c r="GC113" s="63"/>
      <c r="GD113" s="63"/>
      <c r="GE113" s="63"/>
      <c r="GF113" s="63"/>
      <c r="GG113" s="63"/>
      <c r="GH113" s="63"/>
      <c r="GI113" s="63"/>
      <c r="GK113" s="63"/>
      <c r="GL113" s="63"/>
      <c r="GM113" s="63"/>
      <c r="GN113" s="63"/>
      <c r="GO113" s="63"/>
      <c r="GP113" s="63"/>
      <c r="GQ113" s="63"/>
      <c r="GR113" s="63"/>
      <c r="GT113" s="63"/>
      <c r="GU113" s="63"/>
      <c r="HA113" s="63"/>
      <c r="HB113" s="63"/>
      <c r="HC113" s="63"/>
      <c r="HE113" s="63"/>
      <c r="HF113" s="63"/>
      <c r="HX113" s="63"/>
      <c r="HY113" s="63"/>
      <c r="HZ113" s="63"/>
      <c r="IA113" s="63"/>
      <c r="IB113" s="63"/>
      <c r="IC113" s="63"/>
      <c r="II113" s="63"/>
      <c r="KZ113" s="63"/>
      <c r="LA113" s="63"/>
      <c r="LB113" s="63"/>
      <c r="LC113" s="63"/>
      <c r="LD113" s="63"/>
      <c r="LE113" s="63"/>
      <c r="LF113" s="63"/>
      <c r="LG113" s="63"/>
      <c r="LH113" s="63"/>
      <c r="OF113" s="55"/>
      <c r="OG113" s="55"/>
      <c r="OH113" s="55"/>
      <c r="OI113" s="55"/>
      <c r="OJ113" s="55"/>
      <c r="OK113" s="55"/>
      <c r="OL113" s="55"/>
      <c r="OM113" s="55"/>
      <c r="ON113" s="55"/>
      <c r="OO113" s="55"/>
      <c r="OP113" s="55"/>
      <c r="OQ113" s="55"/>
      <c r="OR113" s="55"/>
      <c r="OS113" s="55"/>
      <c r="OT113" s="55"/>
      <c r="OU113" s="55"/>
      <c r="OV113" s="55"/>
      <c r="OW113" s="55"/>
      <c r="OX113" s="55"/>
      <c r="OY113" s="55"/>
      <c r="OZ113" s="55"/>
      <c r="PA113" s="55"/>
      <c r="PB113" s="55"/>
      <c r="PC113" s="55"/>
      <c r="PD113" s="55"/>
      <c r="PE113" s="55"/>
      <c r="PF113" s="55"/>
      <c r="PG113" s="55"/>
      <c r="PH113" s="55"/>
      <c r="PJ113" s="55"/>
      <c r="PK113" s="55"/>
      <c r="PL113" s="55"/>
      <c r="PM113" s="55"/>
      <c r="PN113" s="55"/>
      <c r="PO113" s="55"/>
      <c r="PP113" s="55"/>
      <c r="PQ113" s="55"/>
      <c r="PR113" s="55"/>
      <c r="PS113" s="55"/>
      <c r="PT113" s="55"/>
      <c r="PU113" s="55"/>
      <c r="PZ113" s="55"/>
      <c r="QA113" s="55"/>
      <c r="QB113" s="55"/>
      <c r="QC113" s="55"/>
    </row>
    <row r="114" spans="24:445" ht="15" customHeight="1">
      <c r="X114" s="63"/>
      <c r="Y114" s="97"/>
      <c r="Z114" s="97"/>
      <c r="AA114" s="97"/>
      <c r="AB114" s="97"/>
      <c r="AJ114" s="63"/>
      <c r="BN114" s="63"/>
      <c r="CH114" s="63"/>
      <c r="CI114" s="63"/>
      <c r="CJ114" s="63"/>
      <c r="CK114" s="63"/>
      <c r="CL114" s="63"/>
      <c r="CM114" s="63"/>
      <c r="CN114" s="63"/>
      <c r="CO114" s="63"/>
      <c r="CP114" s="63"/>
      <c r="CQ114" s="63"/>
      <c r="CS114" s="426"/>
      <c r="CT114" s="426"/>
      <c r="CU114" s="426"/>
      <c r="CV114" s="426"/>
      <c r="CW114" s="426"/>
      <c r="DG114" s="55"/>
      <c r="DH114" s="55"/>
      <c r="DI114" s="55"/>
      <c r="DJ114" s="55"/>
      <c r="DO114" s="63"/>
      <c r="DR114" s="63"/>
      <c r="DS114" s="63"/>
      <c r="DU114" s="63"/>
      <c r="DZ114" s="63"/>
      <c r="EE114" s="63"/>
      <c r="EF114" s="63"/>
      <c r="EG114" s="63"/>
      <c r="EH114" s="63"/>
      <c r="EL114" s="63"/>
      <c r="EM114" s="63"/>
      <c r="FX114" s="63"/>
      <c r="FY114" s="63"/>
      <c r="FZ114" s="63"/>
      <c r="GA114" s="63"/>
      <c r="GB114" s="63"/>
      <c r="GC114" s="63"/>
      <c r="GD114" s="63"/>
      <c r="GE114" s="63"/>
      <c r="GF114" s="63"/>
      <c r="GG114" s="63"/>
      <c r="GH114" s="63"/>
      <c r="GI114" s="63"/>
      <c r="GO114" s="63"/>
      <c r="GP114" s="63"/>
      <c r="GQ114" s="63"/>
      <c r="GR114" s="63"/>
      <c r="GT114" s="63"/>
      <c r="GU114" s="63"/>
      <c r="HA114" s="63"/>
      <c r="HB114" s="63"/>
      <c r="HC114" s="63"/>
      <c r="HE114" s="63"/>
      <c r="HF114" s="63"/>
      <c r="HX114" s="63"/>
      <c r="HY114" s="63"/>
      <c r="HZ114" s="63"/>
      <c r="IA114" s="63"/>
      <c r="IB114" s="63"/>
      <c r="IC114" s="63"/>
      <c r="II114" s="63"/>
      <c r="KZ114" s="63"/>
      <c r="LA114" s="63"/>
      <c r="LB114" s="63"/>
      <c r="LC114" s="63"/>
      <c r="LD114" s="63"/>
      <c r="LE114" s="63"/>
      <c r="LF114" s="63"/>
      <c r="LG114" s="63"/>
      <c r="LH114" s="63"/>
      <c r="OF114" s="55"/>
      <c r="OG114" s="55"/>
      <c r="OH114" s="55"/>
      <c r="OI114" s="55"/>
      <c r="OJ114" s="55"/>
      <c r="OK114" s="55"/>
      <c r="OL114" s="55"/>
      <c r="OM114" s="55"/>
      <c r="ON114" s="55"/>
      <c r="OO114" s="55"/>
      <c r="OP114" s="55"/>
      <c r="OQ114" s="55"/>
      <c r="OR114" s="55"/>
      <c r="OS114" s="55"/>
      <c r="OT114" s="55"/>
      <c r="OU114" s="55"/>
      <c r="OV114" s="55"/>
      <c r="OW114" s="55"/>
      <c r="OX114" s="55"/>
      <c r="OY114" s="55"/>
      <c r="OZ114" s="55"/>
      <c r="PA114" s="55"/>
      <c r="PB114" s="55"/>
      <c r="PC114" s="55"/>
      <c r="PD114" s="55"/>
      <c r="PE114" s="55"/>
      <c r="PF114" s="55"/>
      <c r="PG114" s="55"/>
      <c r="PH114" s="55"/>
      <c r="PJ114" s="55"/>
      <c r="PK114" s="55"/>
      <c r="PL114" s="55"/>
      <c r="PM114" s="55"/>
      <c r="PN114" s="55"/>
      <c r="PO114" s="55"/>
      <c r="PP114" s="55"/>
      <c r="PQ114" s="55"/>
      <c r="PR114" s="55"/>
      <c r="PS114" s="55"/>
      <c r="PT114" s="55"/>
      <c r="PU114" s="55"/>
      <c r="PZ114" s="55"/>
      <c r="QA114" s="55"/>
      <c r="QB114" s="55"/>
      <c r="QC114" s="55"/>
    </row>
    <row r="115" spans="24:445" ht="15" customHeight="1">
      <c r="X115" s="63"/>
      <c r="Y115" s="97"/>
      <c r="Z115" s="97"/>
      <c r="AA115" s="97"/>
      <c r="AB115" s="97"/>
      <c r="AJ115" s="63"/>
      <c r="BN115" s="63"/>
      <c r="CH115" s="63"/>
      <c r="CI115" s="63"/>
      <c r="CJ115" s="63"/>
      <c r="CK115" s="63"/>
      <c r="CL115" s="63"/>
      <c r="CM115" s="63"/>
      <c r="CN115" s="63"/>
      <c r="CO115" s="63"/>
      <c r="CP115" s="63"/>
      <c r="CQ115" s="63"/>
      <c r="CS115" s="426"/>
      <c r="CT115" s="426"/>
      <c r="CU115" s="426"/>
      <c r="CV115" s="426"/>
      <c r="CW115" s="426"/>
      <c r="DG115" s="55"/>
      <c r="DH115" s="55"/>
      <c r="DI115" s="55"/>
      <c r="DJ115" s="55"/>
      <c r="DO115" s="63"/>
      <c r="DR115" s="63"/>
      <c r="DS115" s="63"/>
      <c r="DU115" s="63"/>
      <c r="DZ115" s="63"/>
      <c r="EE115" s="63"/>
      <c r="EF115" s="63"/>
      <c r="EG115" s="63"/>
      <c r="EH115" s="63"/>
      <c r="EL115" s="63"/>
      <c r="EM115" s="63"/>
      <c r="FX115" s="63"/>
      <c r="FY115" s="63"/>
      <c r="FZ115" s="63"/>
      <c r="GA115" s="63"/>
      <c r="GB115" s="63"/>
      <c r="GC115" s="63"/>
      <c r="GD115" s="63"/>
      <c r="GE115" s="63"/>
      <c r="GF115" s="63"/>
      <c r="GG115" s="63"/>
      <c r="GH115" s="63"/>
      <c r="GI115" s="63"/>
      <c r="GO115" s="63"/>
      <c r="GP115" s="63"/>
      <c r="GQ115" s="63"/>
      <c r="GR115" s="63"/>
      <c r="GT115" s="63"/>
      <c r="GU115" s="63"/>
      <c r="HA115" s="63"/>
      <c r="HB115" s="63"/>
      <c r="HC115" s="63"/>
      <c r="HE115" s="63"/>
      <c r="HF115" s="63"/>
      <c r="HX115" s="63"/>
      <c r="HY115" s="63"/>
      <c r="HZ115" s="63"/>
      <c r="IA115" s="63"/>
      <c r="IB115" s="63"/>
      <c r="IC115" s="63"/>
      <c r="II115" s="63"/>
      <c r="IR115" s="63"/>
      <c r="IS115" s="63"/>
      <c r="IT115" s="63"/>
      <c r="IU115" s="63"/>
      <c r="IV115" s="63"/>
      <c r="IW115" s="63"/>
      <c r="IX115" s="63"/>
      <c r="IY115" s="63"/>
      <c r="IZ115" s="63"/>
      <c r="JA115" s="63"/>
      <c r="JB115" s="63"/>
      <c r="JC115" s="63"/>
      <c r="JD115" s="63"/>
      <c r="JE115" s="63"/>
      <c r="JF115" s="63"/>
      <c r="JG115" s="63"/>
      <c r="JH115" s="63"/>
      <c r="JI115" s="63"/>
      <c r="JJ115" s="63"/>
      <c r="KZ115" s="63"/>
      <c r="LA115" s="63"/>
      <c r="LB115" s="63"/>
      <c r="LC115" s="63"/>
      <c r="LD115" s="63"/>
      <c r="LE115" s="63"/>
      <c r="LF115" s="63"/>
      <c r="LG115" s="63"/>
      <c r="LH115" s="63"/>
      <c r="OF115" s="55"/>
      <c r="OG115" s="55"/>
      <c r="OH115" s="55"/>
      <c r="OI115" s="55"/>
      <c r="OJ115" s="55"/>
      <c r="OK115" s="55"/>
      <c r="OL115" s="55"/>
      <c r="OM115" s="55"/>
      <c r="ON115" s="55"/>
      <c r="OO115" s="55"/>
      <c r="OP115" s="55"/>
      <c r="OQ115" s="55"/>
      <c r="OR115" s="55"/>
      <c r="OS115" s="55"/>
      <c r="OT115" s="55"/>
      <c r="OU115" s="55"/>
      <c r="OV115" s="55"/>
      <c r="OW115" s="55"/>
      <c r="OX115" s="55"/>
      <c r="OY115" s="55"/>
      <c r="OZ115" s="55"/>
      <c r="PA115" s="55"/>
      <c r="PB115" s="55"/>
      <c r="PC115" s="55"/>
      <c r="PD115" s="55"/>
      <c r="PE115" s="55"/>
      <c r="PF115" s="55"/>
      <c r="PG115" s="55"/>
      <c r="PH115" s="55"/>
      <c r="PJ115" s="55"/>
      <c r="PK115" s="55"/>
      <c r="PL115" s="55"/>
      <c r="PM115" s="55"/>
      <c r="PN115" s="55"/>
      <c r="PO115" s="55"/>
      <c r="PP115" s="55"/>
      <c r="PQ115" s="55"/>
      <c r="PR115" s="55"/>
      <c r="PS115" s="55"/>
      <c r="PT115" s="55"/>
      <c r="PU115" s="55"/>
      <c r="PZ115" s="55"/>
      <c r="QA115" s="55"/>
      <c r="QB115" s="55"/>
      <c r="QC115" s="55"/>
    </row>
    <row r="116" spans="24:445" ht="15" customHeight="1">
      <c r="X116" s="63"/>
      <c r="Y116" s="97"/>
      <c r="Z116" s="97"/>
      <c r="AA116" s="97"/>
      <c r="AB116" s="97"/>
      <c r="AJ116" s="63"/>
      <c r="BN116" s="63"/>
      <c r="CH116" s="63"/>
      <c r="CI116" s="63"/>
      <c r="CJ116" s="63"/>
      <c r="CK116" s="63"/>
      <c r="CL116" s="63"/>
      <c r="CM116" s="63"/>
      <c r="CN116" s="63"/>
      <c r="CO116" s="63"/>
      <c r="CP116" s="63"/>
      <c r="CQ116" s="63"/>
      <c r="CS116" s="426"/>
      <c r="CT116" s="426"/>
      <c r="CU116" s="426"/>
      <c r="CV116" s="426"/>
      <c r="CW116" s="426"/>
      <c r="DG116" s="55"/>
      <c r="DH116" s="55"/>
      <c r="DI116" s="55"/>
      <c r="DJ116" s="55"/>
      <c r="DO116" s="63"/>
      <c r="DR116" s="63"/>
      <c r="DS116" s="63"/>
      <c r="DU116" s="63"/>
      <c r="DZ116" s="63"/>
      <c r="EE116" s="63"/>
      <c r="EF116" s="63"/>
      <c r="EG116" s="63"/>
      <c r="EH116" s="63"/>
      <c r="EL116" s="63"/>
      <c r="EM116" s="63"/>
      <c r="FX116" s="63"/>
      <c r="FY116" s="63"/>
      <c r="FZ116" s="63"/>
      <c r="GA116" s="63"/>
      <c r="GB116" s="63"/>
      <c r="GC116" s="63"/>
      <c r="GD116" s="63"/>
      <c r="GE116" s="63"/>
      <c r="GF116" s="63"/>
      <c r="GG116" s="63"/>
      <c r="GH116" s="63"/>
      <c r="GI116" s="63"/>
      <c r="GO116" s="63"/>
      <c r="GP116" s="63"/>
      <c r="GQ116" s="63"/>
      <c r="GR116" s="63"/>
      <c r="GT116" s="63"/>
      <c r="GU116" s="63"/>
      <c r="HA116" s="63"/>
      <c r="HB116" s="63"/>
      <c r="HC116" s="63"/>
      <c r="HE116" s="63"/>
      <c r="HF116" s="63"/>
      <c r="HX116" s="63"/>
      <c r="HY116" s="63"/>
      <c r="HZ116" s="63"/>
      <c r="IA116" s="63"/>
      <c r="IB116" s="63"/>
      <c r="IC116" s="63"/>
      <c r="II116" s="63"/>
      <c r="IR116" s="63"/>
      <c r="IS116" s="63"/>
      <c r="IT116" s="63"/>
      <c r="IU116" s="63"/>
      <c r="IV116" s="63"/>
      <c r="IW116" s="63"/>
      <c r="IX116" s="63"/>
      <c r="IY116" s="63"/>
      <c r="IZ116" s="63"/>
      <c r="JA116" s="63"/>
      <c r="JB116" s="63"/>
      <c r="JC116" s="63"/>
      <c r="JD116" s="63"/>
      <c r="JE116" s="63"/>
      <c r="JF116" s="63"/>
      <c r="JG116" s="63"/>
      <c r="JH116" s="63"/>
      <c r="JI116" s="63"/>
      <c r="JJ116" s="63"/>
      <c r="KZ116" s="63"/>
      <c r="LA116" s="63"/>
      <c r="LB116" s="63"/>
      <c r="LC116" s="63"/>
      <c r="LD116" s="63"/>
      <c r="LE116" s="63"/>
      <c r="LF116" s="63"/>
      <c r="LG116" s="63"/>
      <c r="LH116" s="63"/>
      <c r="OF116" s="55"/>
      <c r="OG116" s="55"/>
      <c r="OH116" s="55"/>
      <c r="OI116" s="55"/>
      <c r="OJ116" s="55"/>
      <c r="OK116" s="55"/>
      <c r="OL116" s="55"/>
      <c r="OM116" s="55"/>
      <c r="ON116" s="55"/>
      <c r="OO116" s="55"/>
      <c r="OP116" s="55"/>
      <c r="OQ116" s="55"/>
      <c r="OR116" s="55"/>
      <c r="OS116" s="55"/>
      <c r="OT116" s="55"/>
      <c r="OU116" s="55"/>
      <c r="OV116" s="55"/>
      <c r="OW116" s="55"/>
      <c r="OX116" s="55"/>
      <c r="OY116" s="55"/>
      <c r="OZ116" s="55"/>
      <c r="PA116" s="55"/>
      <c r="PB116" s="55"/>
      <c r="PC116" s="55"/>
      <c r="PD116" s="55"/>
      <c r="PE116" s="55"/>
      <c r="PF116" s="55"/>
      <c r="PG116" s="55"/>
      <c r="PH116" s="55"/>
      <c r="PJ116" s="55"/>
      <c r="PK116" s="55"/>
      <c r="PL116" s="55"/>
      <c r="PM116" s="55"/>
      <c r="PN116" s="55"/>
      <c r="PO116" s="55"/>
      <c r="PP116" s="55"/>
      <c r="PQ116" s="55"/>
      <c r="PR116" s="55"/>
      <c r="PS116" s="55"/>
      <c r="PT116" s="55"/>
      <c r="PU116" s="55"/>
      <c r="PZ116" s="55"/>
      <c r="QA116" s="55"/>
      <c r="QB116" s="55"/>
      <c r="QC116" s="55"/>
    </row>
    <row r="117" spans="24:445" ht="15" customHeight="1">
      <c r="X117" s="63"/>
      <c r="Y117" s="97"/>
      <c r="Z117" s="97"/>
      <c r="AA117" s="97"/>
      <c r="AB117" s="97"/>
      <c r="AJ117" s="63"/>
      <c r="BN117" s="63"/>
      <c r="CH117" s="63"/>
      <c r="CI117" s="63"/>
      <c r="CJ117" s="63"/>
      <c r="CK117" s="63"/>
      <c r="CL117" s="63"/>
      <c r="CM117" s="63"/>
      <c r="CN117" s="63"/>
      <c r="CO117" s="63"/>
      <c r="CP117" s="63"/>
      <c r="CQ117" s="63"/>
      <c r="CS117" s="426"/>
      <c r="CT117" s="426"/>
      <c r="CU117" s="426"/>
      <c r="CV117" s="426"/>
      <c r="CW117" s="426"/>
      <c r="DG117" s="55"/>
      <c r="DH117" s="55"/>
      <c r="DI117" s="55"/>
      <c r="DJ117" s="55"/>
      <c r="DO117" s="63"/>
      <c r="DR117" s="63"/>
      <c r="DS117" s="63"/>
      <c r="DU117" s="63"/>
      <c r="DZ117" s="63"/>
      <c r="EE117" s="63"/>
      <c r="EF117" s="63"/>
      <c r="EG117" s="63"/>
      <c r="EH117" s="63"/>
      <c r="EL117" s="63"/>
      <c r="EM117" s="63"/>
      <c r="FX117" s="63"/>
      <c r="FY117" s="63"/>
      <c r="FZ117" s="63"/>
      <c r="GA117" s="63"/>
      <c r="GB117" s="63"/>
      <c r="GC117" s="63"/>
      <c r="GD117" s="63"/>
      <c r="GE117" s="63"/>
      <c r="GF117" s="63"/>
      <c r="GG117" s="63"/>
      <c r="GH117" s="63"/>
      <c r="GI117" s="63"/>
      <c r="GO117" s="63"/>
      <c r="GP117" s="63"/>
      <c r="GQ117" s="63"/>
      <c r="GR117" s="63"/>
      <c r="GT117" s="63"/>
      <c r="GU117" s="63"/>
      <c r="HA117" s="63"/>
      <c r="HB117" s="63"/>
      <c r="HC117" s="63"/>
      <c r="HE117" s="63"/>
      <c r="HF117" s="63"/>
      <c r="HX117" s="63"/>
      <c r="HY117" s="63"/>
      <c r="HZ117" s="63"/>
      <c r="IA117" s="63"/>
      <c r="IB117" s="63"/>
      <c r="IC117" s="63"/>
      <c r="II117" s="63"/>
      <c r="IR117" s="63"/>
      <c r="IS117" s="63"/>
      <c r="IT117" s="63"/>
      <c r="IU117" s="63"/>
      <c r="IV117" s="63"/>
      <c r="IW117" s="63"/>
      <c r="IX117" s="63"/>
      <c r="IY117" s="63"/>
      <c r="IZ117" s="63"/>
      <c r="JA117" s="63"/>
      <c r="JB117" s="63"/>
      <c r="JC117" s="63"/>
      <c r="JD117" s="63"/>
      <c r="JE117" s="63"/>
      <c r="JF117" s="63"/>
      <c r="JG117" s="63"/>
      <c r="JH117" s="63"/>
      <c r="JI117" s="63"/>
      <c r="JJ117" s="63"/>
      <c r="KZ117" s="63"/>
      <c r="LA117" s="63"/>
      <c r="LB117" s="63"/>
      <c r="LC117" s="63"/>
      <c r="LD117" s="63"/>
      <c r="LE117" s="63"/>
      <c r="LF117" s="63"/>
      <c r="LG117" s="63"/>
      <c r="LH117" s="63"/>
      <c r="OF117" s="55"/>
      <c r="OG117" s="55"/>
      <c r="OH117" s="55"/>
      <c r="OI117" s="55"/>
      <c r="OJ117" s="55"/>
      <c r="OK117" s="55"/>
      <c r="OL117" s="55"/>
      <c r="OM117" s="55"/>
      <c r="ON117" s="55"/>
      <c r="OO117" s="55"/>
      <c r="OP117" s="55"/>
      <c r="OQ117" s="55"/>
      <c r="OR117" s="55"/>
      <c r="OS117" s="55"/>
      <c r="OT117" s="55"/>
      <c r="OU117" s="55"/>
      <c r="OV117" s="55"/>
      <c r="OW117" s="55"/>
      <c r="OX117" s="55"/>
      <c r="OY117" s="55"/>
      <c r="OZ117" s="55"/>
      <c r="PA117" s="55"/>
      <c r="PB117" s="55"/>
      <c r="PC117" s="55"/>
      <c r="PD117" s="55"/>
      <c r="PE117" s="55"/>
      <c r="PF117" s="55"/>
      <c r="PG117" s="55"/>
      <c r="PH117" s="55"/>
      <c r="PJ117" s="55"/>
      <c r="PK117" s="55"/>
      <c r="PL117" s="55"/>
      <c r="PM117" s="55"/>
      <c r="PN117" s="55"/>
      <c r="PO117" s="55"/>
      <c r="PP117" s="55"/>
      <c r="PQ117" s="55"/>
      <c r="PR117" s="55"/>
      <c r="PS117" s="55"/>
      <c r="PT117" s="55"/>
      <c r="PU117" s="55"/>
      <c r="PZ117" s="55"/>
      <c r="QA117" s="55"/>
      <c r="QB117" s="55"/>
      <c r="QC117" s="55"/>
    </row>
    <row r="118" spans="24:445" ht="15" customHeight="1">
      <c r="X118" s="63"/>
      <c r="Y118" s="97"/>
      <c r="Z118" s="97"/>
      <c r="AA118" s="97"/>
      <c r="AB118" s="97"/>
      <c r="AJ118" s="63"/>
      <c r="BN118" s="63"/>
      <c r="CH118" s="63"/>
      <c r="CI118" s="63"/>
      <c r="CJ118" s="63"/>
      <c r="CK118" s="63"/>
      <c r="CL118" s="63"/>
      <c r="CM118" s="63"/>
      <c r="CN118" s="63"/>
      <c r="CO118" s="63"/>
      <c r="CP118" s="63"/>
      <c r="CQ118" s="63"/>
      <c r="CS118" s="426"/>
      <c r="CT118" s="426"/>
      <c r="CU118" s="426"/>
      <c r="CV118" s="426"/>
      <c r="CW118" s="426"/>
      <c r="DG118" s="55"/>
      <c r="DH118" s="55"/>
      <c r="DI118" s="55"/>
      <c r="DJ118" s="55"/>
      <c r="DO118" s="63"/>
      <c r="DR118" s="63"/>
      <c r="DS118" s="63"/>
      <c r="DU118" s="63"/>
      <c r="DZ118" s="63"/>
      <c r="EE118" s="63"/>
      <c r="EF118" s="63"/>
      <c r="EG118" s="63"/>
      <c r="EH118" s="63"/>
      <c r="EL118" s="63"/>
      <c r="EM118" s="63"/>
      <c r="FX118" s="63"/>
      <c r="FY118" s="63"/>
      <c r="FZ118" s="63"/>
      <c r="GA118" s="63"/>
      <c r="GB118" s="63"/>
      <c r="GC118" s="63"/>
      <c r="GD118" s="63"/>
      <c r="GE118" s="63"/>
      <c r="GF118" s="63"/>
      <c r="GG118" s="63"/>
      <c r="GH118" s="63"/>
      <c r="GI118" s="63"/>
      <c r="GO118" s="63"/>
      <c r="GP118" s="63"/>
      <c r="GQ118" s="63"/>
      <c r="GR118" s="63"/>
      <c r="GT118" s="63"/>
      <c r="GU118" s="63"/>
      <c r="HA118" s="63"/>
      <c r="HB118" s="63"/>
      <c r="HC118" s="63"/>
      <c r="HE118" s="63"/>
      <c r="HF118" s="63"/>
      <c r="HX118" s="63"/>
      <c r="HY118" s="63"/>
      <c r="HZ118" s="63"/>
      <c r="IA118" s="63"/>
      <c r="IB118" s="63"/>
      <c r="IC118" s="63"/>
      <c r="II118" s="63"/>
      <c r="IR118" s="63"/>
      <c r="IS118" s="63"/>
      <c r="IT118" s="63"/>
      <c r="IU118" s="63"/>
      <c r="IV118" s="63"/>
      <c r="IW118" s="63"/>
      <c r="IX118" s="63"/>
      <c r="IY118" s="63"/>
      <c r="IZ118" s="63"/>
      <c r="JA118" s="63"/>
      <c r="JB118" s="63"/>
      <c r="JC118" s="63"/>
      <c r="JD118" s="63"/>
      <c r="JE118" s="63"/>
      <c r="JF118" s="63"/>
      <c r="JG118" s="63"/>
      <c r="JH118" s="63"/>
      <c r="JI118" s="63"/>
      <c r="JJ118" s="63"/>
      <c r="KZ118" s="63"/>
      <c r="LA118" s="63"/>
      <c r="LB118" s="63"/>
      <c r="LC118" s="63"/>
      <c r="LD118" s="63"/>
      <c r="LE118" s="63"/>
      <c r="LF118" s="63"/>
      <c r="LG118" s="63"/>
      <c r="LH118" s="63"/>
      <c r="OF118" s="55"/>
      <c r="OG118" s="55"/>
      <c r="OH118" s="55"/>
      <c r="OI118" s="55"/>
      <c r="OJ118" s="55"/>
      <c r="OK118" s="55"/>
      <c r="OL118" s="55"/>
      <c r="OM118" s="55"/>
      <c r="ON118" s="55"/>
      <c r="OO118" s="55"/>
      <c r="OP118" s="55"/>
      <c r="OQ118" s="55"/>
      <c r="OR118" s="55"/>
      <c r="OS118" s="55"/>
      <c r="OT118" s="55"/>
      <c r="OU118" s="55"/>
      <c r="OV118" s="55"/>
      <c r="OW118" s="55"/>
      <c r="OX118" s="55"/>
      <c r="OY118" s="55"/>
      <c r="OZ118" s="55"/>
      <c r="PA118" s="55"/>
      <c r="PB118" s="55"/>
      <c r="PC118" s="55"/>
      <c r="PD118" s="55"/>
      <c r="PE118" s="55"/>
      <c r="PF118" s="55"/>
      <c r="PG118" s="55"/>
      <c r="PH118" s="55"/>
      <c r="PJ118" s="55"/>
      <c r="PK118" s="55"/>
      <c r="PL118" s="55"/>
      <c r="PM118" s="55"/>
      <c r="PN118" s="55"/>
      <c r="PO118" s="55"/>
      <c r="PP118" s="55"/>
      <c r="PQ118" s="55"/>
      <c r="PR118" s="55"/>
      <c r="PS118" s="55"/>
      <c r="PT118" s="55"/>
      <c r="PU118" s="55"/>
      <c r="PZ118" s="55"/>
      <c r="QA118" s="55"/>
      <c r="QB118" s="55"/>
      <c r="QC118" s="55"/>
    </row>
    <row r="119" spans="24:445" ht="15" customHeight="1">
      <c r="X119" s="63"/>
      <c r="Y119" s="97"/>
      <c r="Z119" s="97"/>
      <c r="AA119" s="97"/>
      <c r="AB119" s="97"/>
      <c r="AJ119" s="63"/>
      <c r="BN119" s="63"/>
      <c r="CS119" s="426"/>
      <c r="CT119" s="426"/>
      <c r="CU119" s="426"/>
      <c r="CV119" s="426"/>
      <c r="CW119" s="426"/>
      <c r="DG119" s="55"/>
      <c r="DH119" s="55"/>
      <c r="DI119" s="55"/>
      <c r="DJ119" s="55"/>
      <c r="EE119" s="63"/>
      <c r="EF119" s="63"/>
      <c r="EG119" s="63"/>
      <c r="EH119" s="63"/>
      <c r="EL119" s="63"/>
      <c r="EM119" s="63"/>
      <c r="FX119" s="63"/>
      <c r="FY119" s="63"/>
      <c r="FZ119" s="63"/>
      <c r="GA119" s="63"/>
      <c r="GB119" s="63"/>
      <c r="GC119" s="63"/>
      <c r="GD119" s="63"/>
      <c r="GE119" s="63"/>
      <c r="GF119" s="63"/>
      <c r="GG119" s="63"/>
      <c r="GH119" s="63"/>
      <c r="GI119" s="63"/>
      <c r="GO119" s="63"/>
      <c r="GP119" s="63"/>
      <c r="GQ119" s="63"/>
      <c r="GR119" s="63"/>
      <c r="GT119" s="63"/>
      <c r="GU119" s="63"/>
      <c r="HC119" s="429"/>
      <c r="HD119" s="429"/>
      <c r="HF119" s="429"/>
      <c r="HG119" s="429"/>
      <c r="HH119" s="429"/>
      <c r="HI119" s="429"/>
      <c r="HJ119" s="429"/>
      <c r="IC119" s="429"/>
      <c r="ID119" s="429"/>
      <c r="IE119" s="429"/>
      <c r="IF119" s="429"/>
      <c r="IG119" s="429"/>
      <c r="IH119" s="429"/>
      <c r="II119" s="429"/>
      <c r="IJ119" s="429"/>
      <c r="IK119" s="429"/>
      <c r="IL119" s="429"/>
      <c r="IM119" s="429"/>
      <c r="IN119" s="429"/>
      <c r="IO119" s="429"/>
      <c r="IP119" s="429"/>
      <c r="IR119" s="63"/>
      <c r="IS119" s="63"/>
      <c r="IT119" s="63"/>
      <c r="IU119" s="63"/>
      <c r="IV119" s="63"/>
      <c r="IW119" s="63"/>
      <c r="IX119" s="63"/>
      <c r="IY119" s="63"/>
      <c r="IZ119" s="63"/>
      <c r="JA119" s="63"/>
      <c r="JB119" s="63"/>
      <c r="JC119" s="63"/>
      <c r="JD119" s="63"/>
      <c r="JE119" s="63"/>
      <c r="JF119" s="63"/>
      <c r="JG119" s="63"/>
      <c r="JH119" s="63"/>
      <c r="JI119" s="63"/>
      <c r="JJ119" s="63"/>
      <c r="KZ119" s="63"/>
      <c r="LA119" s="63"/>
      <c r="LB119" s="63"/>
      <c r="LC119" s="63"/>
      <c r="LD119" s="63"/>
      <c r="LE119" s="63"/>
      <c r="LF119" s="63"/>
      <c r="LG119" s="63"/>
      <c r="LH119" s="63"/>
      <c r="OF119" s="55"/>
      <c r="OG119" s="55"/>
      <c r="OH119" s="55"/>
      <c r="OI119" s="55"/>
      <c r="OJ119" s="55"/>
      <c r="OK119" s="55"/>
      <c r="OL119" s="55"/>
      <c r="OM119" s="55"/>
      <c r="ON119" s="55"/>
      <c r="OO119" s="55"/>
      <c r="OP119" s="55"/>
      <c r="OQ119" s="55"/>
      <c r="OR119" s="55"/>
      <c r="OS119" s="55"/>
      <c r="OT119" s="55"/>
      <c r="OU119" s="55"/>
      <c r="OV119" s="55"/>
      <c r="OW119" s="55"/>
      <c r="OX119" s="55"/>
      <c r="OY119" s="55"/>
      <c r="OZ119" s="55"/>
      <c r="PA119" s="55"/>
      <c r="PB119" s="55"/>
      <c r="PC119" s="55"/>
      <c r="PD119" s="55"/>
      <c r="PE119" s="55"/>
      <c r="PF119" s="55"/>
      <c r="PG119" s="55"/>
      <c r="PH119" s="55"/>
      <c r="PJ119" s="55"/>
      <c r="PK119" s="55"/>
      <c r="PL119" s="55"/>
      <c r="PM119" s="55"/>
      <c r="PN119" s="55"/>
      <c r="PO119" s="55"/>
      <c r="PP119" s="55"/>
      <c r="PQ119" s="55"/>
      <c r="PR119" s="55"/>
      <c r="PS119" s="55"/>
      <c r="PT119" s="55"/>
      <c r="PU119" s="55"/>
      <c r="PZ119" s="55"/>
      <c r="QA119" s="55"/>
      <c r="QB119" s="55"/>
      <c r="QC119" s="55"/>
    </row>
    <row r="120" spans="24:445" ht="15" customHeight="1">
      <c r="X120" s="63"/>
      <c r="Y120" s="97"/>
      <c r="Z120" s="97"/>
      <c r="AA120" s="97"/>
      <c r="AB120" s="97"/>
      <c r="AJ120" s="63"/>
      <c r="BN120" s="63"/>
      <c r="CS120" s="426"/>
      <c r="CT120" s="426"/>
      <c r="CU120" s="426"/>
      <c r="CV120" s="426"/>
      <c r="CW120" s="426"/>
      <c r="DG120" s="55"/>
      <c r="DH120" s="55"/>
      <c r="DI120" s="55"/>
      <c r="DJ120" s="55"/>
      <c r="EE120" s="63"/>
      <c r="EF120" s="63"/>
      <c r="EG120" s="63"/>
      <c r="EH120" s="63"/>
      <c r="EL120" s="63"/>
      <c r="EM120" s="63"/>
      <c r="FX120" s="63"/>
      <c r="FY120" s="63"/>
      <c r="FZ120" s="63"/>
      <c r="GA120" s="63"/>
      <c r="GB120" s="63"/>
      <c r="GC120" s="63"/>
      <c r="GD120" s="63"/>
      <c r="GE120" s="63"/>
      <c r="GF120" s="63"/>
      <c r="GG120" s="63"/>
      <c r="GH120" s="63"/>
      <c r="GI120" s="63"/>
      <c r="GO120" s="63"/>
      <c r="GP120" s="63"/>
      <c r="GQ120" s="63"/>
      <c r="GR120" s="63"/>
      <c r="GT120" s="63"/>
      <c r="GU120" s="63"/>
      <c r="IR120" s="63"/>
      <c r="IS120" s="63"/>
      <c r="IT120" s="63"/>
      <c r="IU120" s="63"/>
      <c r="IV120" s="63"/>
      <c r="IW120" s="63"/>
      <c r="IX120" s="63"/>
      <c r="IY120" s="63"/>
      <c r="IZ120" s="63"/>
      <c r="JA120" s="63"/>
      <c r="JB120" s="63"/>
      <c r="JC120" s="63"/>
      <c r="JD120" s="63"/>
      <c r="JE120" s="63"/>
      <c r="JF120" s="63"/>
      <c r="JG120" s="63"/>
      <c r="JH120" s="63"/>
      <c r="JI120" s="63"/>
      <c r="JJ120" s="63"/>
      <c r="KZ120" s="63"/>
      <c r="LA120" s="63"/>
      <c r="LB120" s="63"/>
      <c r="LC120" s="63"/>
      <c r="LD120" s="63"/>
      <c r="LE120" s="63"/>
      <c r="LF120" s="63"/>
      <c r="LG120" s="63"/>
      <c r="LH120" s="63"/>
      <c r="OF120" s="55"/>
      <c r="OG120" s="55"/>
      <c r="OH120" s="55"/>
      <c r="OI120" s="55"/>
      <c r="OJ120" s="55"/>
      <c r="OK120" s="55"/>
      <c r="OL120" s="55"/>
      <c r="OM120" s="55"/>
      <c r="ON120" s="55"/>
      <c r="OO120" s="55"/>
      <c r="OP120" s="55"/>
      <c r="OQ120" s="55"/>
      <c r="OR120" s="55"/>
      <c r="OS120" s="55"/>
      <c r="OT120" s="55"/>
      <c r="OU120" s="55"/>
      <c r="OV120" s="55"/>
      <c r="OW120" s="55"/>
      <c r="OX120" s="55"/>
      <c r="OY120" s="55"/>
      <c r="OZ120" s="55"/>
      <c r="PA120" s="55"/>
      <c r="PB120" s="55"/>
      <c r="PC120" s="55"/>
      <c r="PD120" s="55"/>
      <c r="PE120" s="55"/>
      <c r="PF120" s="55"/>
      <c r="PG120" s="55"/>
      <c r="PH120" s="55"/>
      <c r="PJ120" s="55"/>
      <c r="PK120" s="55"/>
      <c r="PL120" s="55"/>
      <c r="PM120" s="55"/>
      <c r="PN120" s="55"/>
      <c r="PO120" s="55"/>
      <c r="PP120" s="55"/>
      <c r="PQ120" s="55"/>
      <c r="PR120" s="55"/>
      <c r="PS120" s="55"/>
      <c r="PT120" s="55"/>
      <c r="PU120" s="55"/>
      <c r="PZ120" s="55"/>
      <c r="QA120" s="55"/>
      <c r="QB120" s="55"/>
      <c r="QC120" s="55"/>
    </row>
    <row r="121" spans="24:445" ht="15" customHeight="1">
      <c r="X121" s="63"/>
      <c r="Y121" s="97"/>
      <c r="Z121" s="97"/>
      <c r="AA121" s="97"/>
      <c r="AB121" s="97"/>
      <c r="AJ121" s="63"/>
      <c r="BN121" s="63"/>
      <c r="CS121" s="426"/>
      <c r="CT121" s="426"/>
      <c r="CU121" s="426"/>
      <c r="CV121" s="426"/>
      <c r="CW121" s="426"/>
      <c r="DG121" s="55"/>
      <c r="DH121" s="55"/>
      <c r="DI121" s="55"/>
      <c r="DJ121" s="55"/>
      <c r="EE121" s="63"/>
      <c r="EF121" s="63"/>
      <c r="EG121" s="63"/>
      <c r="EH121" s="63"/>
      <c r="EL121" s="63"/>
      <c r="EM121" s="63"/>
      <c r="FW121" s="63"/>
      <c r="FX121" s="63"/>
      <c r="FY121" s="63"/>
      <c r="FZ121" s="63"/>
      <c r="GA121" s="63"/>
      <c r="GB121" s="63"/>
      <c r="GC121" s="63"/>
      <c r="GD121" s="63"/>
      <c r="GE121" s="63"/>
      <c r="GF121" s="63"/>
      <c r="GG121" s="63"/>
      <c r="GH121" s="63"/>
      <c r="GI121" s="63"/>
      <c r="GO121" s="63"/>
      <c r="GP121" s="63"/>
      <c r="GQ121" s="63"/>
      <c r="GR121" s="63"/>
      <c r="GT121" s="63"/>
      <c r="GU121" s="63"/>
      <c r="IR121" s="63"/>
      <c r="IS121" s="63"/>
      <c r="IT121" s="63"/>
      <c r="IU121" s="63"/>
      <c r="IV121" s="63"/>
      <c r="IW121" s="63"/>
      <c r="IX121" s="63"/>
      <c r="IY121" s="63"/>
      <c r="IZ121" s="63"/>
      <c r="JA121" s="63"/>
      <c r="JB121" s="63"/>
      <c r="JC121" s="63"/>
      <c r="JD121" s="63"/>
      <c r="JE121" s="63"/>
      <c r="JF121" s="63"/>
      <c r="JG121" s="63"/>
      <c r="JH121" s="63"/>
      <c r="JI121" s="63"/>
      <c r="JJ121" s="63"/>
      <c r="KZ121" s="63"/>
      <c r="OF121" s="55"/>
      <c r="OG121" s="55"/>
      <c r="OH121" s="55"/>
      <c r="OI121" s="55"/>
      <c r="OJ121" s="55"/>
      <c r="OK121" s="55"/>
      <c r="OL121" s="55"/>
      <c r="OM121" s="55"/>
      <c r="ON121" s="55"/>
      <c r="OO121" s="55"/>
      <c r="OP121" s="55"/>
      <c r="OQ121" s="55"/>
      <c r="OR121" s="55"/>
      <c r="OS121" s="55"/>
      <c r="OT121" s="55"/>
      <c r="OU121" s="55"/>
      <c r="OV121" s="55"/>
      <c r="OW121" s="55"/>
      <c r="OX121" s="55"/>
      <c r="OY121" s="55"/>
      <c r="OZ121" s="55"/>
      <c r="PA121" s="55"/>
      <c r="PB121" s="55"/>
      <c r="PC121" s="55"/>
      <c r="PD121" s="55"/>
      <c r="PE121" s="55"/>
      <c r="PF121" s="55"/>
      <c r="PG121" s="55"/>
      <c r="PH121" s="55"/>
      <c r="PJ121" s="55"/>
      <c r="PK121" s="55"/>
      <c r="PL121" s="55"/>
      <c r="PM121" s="55"/>
      <c r="PN121" s="55"/>
      <c r="PO121" s="55"/>
      <c r="PP121" s="55"/>
      <c r="PQ121" s="55"/>
      <c r="PR121" s="55"/>
      <c r="PS121" s="55"/>
      <c r="PT121" s="55"/>
      <c r="PU121" s="55"/>
      <c r="PZ121" s="55"/>
      <c r="QA121" s="55"/>
      <c r="QB121" s="55"/>
      <c r="QC121" s="55"/>
    </row>
    <row r="122" spans="24:445" ht="15" customHeight="1">
      <c r="X122" s="63"/>
      <c r="Y122" s="97"/>
      <c r="Z122" s="97"/>
      <c r="AA122" s="97"/>
      <c r="AB122" s="97"/>
      <c r="AJ122" s="63"/>
      <c r="BN122" s="63"/>
      <c r="CS122" s="426"/>
      <c r="CT122" s="426"/>
      <c r="CU122" s="426"/>
      <c r="CV122" s="426"/>
      <c r="CW122" s="426"/>
      <c r="DG122" s="55"/>
      <c r="DH122" s="55"/>
      <c r="DI122" s="55"/>
      <c r="DJ122" s="55"/>
      <c r="EE122" s="63"/>
      <c r="EF122" s="63"/>
      <c r="EG122" s="63"/>
      <c r="EH122" s="63"/>
      <c r="EL122" s="63"/>
      <c r="EM122" s="63"/>
      <c r="FW122" s="63"/>
      <c r="FX122" s="63"/>
      <c r="FY122" s="63"/>
      <c r="FZ122" s="63"/>
      <c r="GA122" s="63"/>
      <c r="GB122" s="63"/>
      <c r="GC122" s="63"/>
      <c r="GD122" s="63"/>
      <c r="GE122" s="63"/>
      <c r="GF122" s="63"/>
      <c r="GG122" s="63"/>
      <c r="GH122" s="63"/>
      <c r="GI122" s="63"/>
      <c r="GO122" s="63"/>
      <c r="GP122" s="63"/>
      <c r="GQ122" s="63"/>
      <c r="GR122" s="63"/>
      <c r="GT122" s="63"/>
      <c r="GU122" s="63"/>
      <c r="IR122" s="63"/>
      <c r="IS122" s="63"/>
      <c r="IT122" s="63"/>
      <c r="IU122" s="63"/>
      <c r="IV122" s="63"/>
      <c r="IW122" s="63"/>
      <c r="IX122" s="63"/>
      <c r="IY122" s="63"/>
      <c r="IZ122" s="63"/>
      <c r="JA122" s="63"/>
      <c r="JB122" s="63"/>
      <c r="JC122" s="63"/>
      <c r="JD122" s="63"/>
      <c r="JE122" s="63"/>
      <c r="JF122" s="63"/>
      <c r="JG122" s="63"/>
      <c r="JH122" s="63"/>
      <c r="JI122" s="63"/>
      <c r="JJ122" s="63"/>
      <c r="KZ122" s="63"/>
      <c r="OF122" s="55"/>
      <c r="OG122" s="55"/>
      <c r="OH122" s="55"/>
      <c r="OI122" s="55"/>
      <c r="OJ122" s="55"/>
      <c r="OK122" s="55"/>
      <c r="OL122" s="55"/>
      <c r="OM122" s="55"/>
      <c r="ON122" s="55"/>
      <c r="OO122" s="55"/>
      <c r="OP122" s="55"/>
      <c r="OQ122" s="55"/>
      <c r="OR122" s="55"/>
      <c r="OS122" s="55"/>
      <c r="OT122" s="55"/>
      <c r="OU122" s="55"/>
      <c r="OV122" s="55"/>
      <c r="OW122" s="55"/>
      <c r="OX122" s="55"/>
      <c r="OY122" s="55"/>
      <c r="OZ122" s="55"/>
      <c r="PA122" s="55"/>
      <c r="PB122" s="55"/>
      <c r="PC122" s="55"/>
      <c r="PD122" s="55"/>
      <c r="PE122" s="55"/>
      <c r="PF122" s="55"/>
      <c r="PG122" s="55"/>
      <c r="PH122" s="55"/>
      <c r="PJ122" s="55"/>
      <c r="PK122" s="55"/>
      <c r="PL122" s="55"/>
      <c r="PM122" s="55"/>
      <c r="PN122" s="55"/>
      <c r="PO122" s="55"/>
      <c r="PP122" s="55"/>
      <c r="PQ122" s="55"/>
      <c r="PR122" s="55"/>
      <c r="PS122" s="55"/>
      <c r="PT122" s="55"/>
      <c r="PU122" s="55"/>
      <c r="PZ122" s="55"/>
      <c r="QA122" s="55"/>
      <c r="QB122" s="55"/>
      <c r="QC122" s="55"/>
    </row>
    <row r="123" spans="24:445" ht="15" customHeight="1">
      <c r="X123" s="63"/>
      <c r="Y123" s="97"/>
      <c r="Z123" s="97"/>
      <c r="AA123" s="97"/>
      <c r="AB123" s="97"/>
      <c r="AJ123" s="63"/>
      <c r="BN123" s="63"/>
      <c r="CS123" s="426"/>
      <c r="CT123" s="426"/>
      <c r="CU123" s="426"/>
      <c r="CV123" s="426"/>
      <c r="CW123" s="426"/>
      <c r="DG123" s="55"/>
      <c r="DH123" s="55"/>
      <c r="DI123" s="55"/>
      <c r="DJ123" s="55"/>
      <c r="EE123" s="63"/>
      <c r="EF123" s="63"/>
      <c r="EG123" s="63"/>
      <c r="EH123" s="63"/>
      <c r="EL123" s="63"/>
      <c r="EM123" s="63"/>
      <c r="FW123" s="63"/>
      <c r="FX123" s="63"/>
      <c r="FY123" s="63"/>
      <c r="FZ123" s="63"/>
      <c r="GA123" s="63"/>
      <c r="GB123" s="63"/>
      <c r="GC123" s="63"/>
      <c r="GD123" s="63"/>
      <c r="GE123" s="63"/>
      <c r="GF123" s="63"/>
      <c r="GG123" s="63"/>
      <c r="GH123" s="63"/>
      <c r="GI123" s="63"/>
      <c r="GO123" s="63"/>
      <c r="GP123" s="63"/>
      <c r="GQ123" s="63"/>
      <c r="GR123" s="63"/>
      <c r="GT123" s="63"/>
      <c r="GU123" s="63"/>
      <c r="IR123" s="63"/>
      <c r="IS123" s="63"/>
      <c r="IT123" s="63"/>
      <c r="IU123" s="63"/>
      <c r="IV123" s="63"/>
      <c r="IW123" s="63"/>
      <c r="IX123" s="63"/>
      <c r="IY123" s="63"/>
      <c r="IZ123" s="63"/>
      <c r="JA123" s="63"/>
      <c r="JB123" s="63"/>
      <c r="JC123" s="63"/>
      <c r="JD123" s="63"/>
      <c r="JE123" s="63"/>
      <c r="JF123" s="63"/>
      <c r="JG123" s="63"/>
      <c r="JH123" s="63"/>
      <c r="JI123" s="63"/>
      <c r="JJ123" s="63"/>
      <c r="OF123" s="55"/>
      <c r="OG123" s="55"/>
      <c r="OH123" s="55"/>
      <c r="OI123" s="55"/>
      <c r="OJ123" s="55"/>
      <c r="OK123" s="55"/>
      <c r="OL123" s="55"/>
      <c r="OM123" s="55"/>
      <c r="ON123" s="55"/>
      <c r="OO123" s="55"/>
      <c r="OP123" s="55"/>
      <c r="OQ123" s="55"/>
      <c r="OR123" s="55"/>
      <c r="OS123" s="55"/>
      <c r="OT123" s="55"/>
      <c r="OU123" s="55"/>
      <c r="OV123" s="55"/>
      <c r="OW123" s="55"/>
      <c r="OX123" s="55"/>
      <c r="OY123" s="55"/>
      <c r="OZ123" s="55"/>
      <c r="PA123" s="55"/>
      <c r="PB123" s="55"/>
      <c r="PC123" s="55"/>
      <c r="PD123" s="55"/>
      <c r="PE123" s="55"/>
      <c r="PF123" s="55"/>
      <c r="PG123" s="55"/>
      <c r="PH123" s="55"/>
      <c r="PJ123" s="55"/>
      <c r="PK123" s="55"/>
      <c r="PL123" s="55"/>
      <c r="PM123" s="55"/>
      <c r="PN123" s="55"/>
      <c r="PO123" s="55"/>
      <c r="PP123" s="55"/>
      <c r="PQ123" s="55"/>
      <c r="PR123" s="55"/>
      <c r="PS123" s="55"/>
      <c r="PT123" s="55"/>
      <c r="PU123" s="55"/>
      <c r="PZ123" s="55"/>
      <c r="QA123" s="55"/>
      <c r="QB123" s="55"/>
      <c r="QC123" s="55"/>
    </row>
    <row r="124" spans="24:445" ht="15" customHeight="1">
      <c r="X124" s="63"/>
      <c r="Y124" s="97"/>
      <c r="Z124" s="97"/>
      <c r="AA124" s="97"/>
      <c r="AB124" s="97"/>
      <c r="AJ124" s="63"/>
      <c r="CS124" s="426"/>
      <c r="CT124" s="426"/>
      <c r="CU124" s="426"/>
      <c r="CV124" s="426"/>
      <c r="CW124" s="426"/>
      <c r="DG124" s="55"/>
      <c r="DH124" s="55"/>
      <c r="DI124" s="55"/>
      <c r="DJ124" s="55"/>
      <c r="EE124" s="63"/>
      <c r="EF124" s="63"/>
      <c r="EG124" s="63"/>
      <c r="EH124" s="63"/>
      <c r="EL124" s="63"/>
      <c r="EM124" s="63"/>
      <c r="FW124" s="63"/>
      <c r="FX124" s="63"/>
      <c r="FY124" s="63"/>
      <c r="FZ124" s="63"/>
      <c r="GA124" s="63"/>
      <c r="GB124" s="63"/>
      <c r="GC124" s="63"/>
      <c r="GD124" s="63"/>
      <c r="GE124" s="63"/>
      <c r="GF124" s="63"/>
      <c r="GG124" s="63"/>
      <c r="GH124" s="63"/>
      <c r="GI124" s="63"/>
      <c r="GO124" s="63"/>
      <c r="GP124" s="63"/>
      <c r="GQ124" s="63"/>
      <c r="GR124" s="63"/>
      <c r="GT124" s="63"/>
      <c r="GU124" s="63"/>
      <c r="IR124" s="63"/>
      <c r="IS124" s="63"/>
      <c r="IT124" s="63"/>
      <c r="IU124" s="63"/>
      <c r="IV124" s="63"/>
      <c r="IW124" s="63"/>
      <c r="IX124" s="63"/>
      <c r="IY124" s="63"/>
      <c r="IZ124" s="63"/>
      <c r="JA124" s="63"/>
      <c r="JB124" s="63"/>
      <c r="JC124" s="63"/>
      <c r="JD124" s="63"/>
      <c r="JE124" s="63"/>
      <c r="JF124" s="63"/>
      <c r="JG124" s="63"/>
      <c r="JH124" s="63"/>
      <c r="JI124" s="63"/>
      <c r="JJ124" s="63"/>
      <c r="OF124" s="55"/>
      <c r="OG124" s="55"/>
      <c r="OH124" s="55"/>
      <c r="OI124" s="55"/>
      <c r="OJ124" s="55"/>
      <c r="OK124" s="55"/>
      <c r="OL124" s="55"/>
      <c r="OM124" s="55"/>
      <c r="ON124" s="55"/>
      <c r="OO124" s="55"/>
      <c r="OP124" s="55"/>
      <c r="OQ124" s="55"/>
      <c r="OR124" s="55"/>
      <c r="OS124" s="55"/>
      <c r="OT124" s="55"/>
      <c r="OU124" s="55"/>
      <c r="OV124" s="55"/>
      <c r="OW124" s="55"/>
      <c r="OX124" s="55"/>
      <c r="OY124" s="55"/>
      <c r="OZ124" s="55"/>
      <c r="PA124" s="55"/>
      <c r="PB124" s="55"/>
      <c r="PC124" s="55"/>
      <c r="PD124" s="55"/>
      <c r="PE124" s="55"/>
      <c r="PF124" s="55"/>
      <c r="PG124" s="55"/>
      <c r="PH124" s="55"/>
      <c r="PJ124" s="55"/>
      <c r="PK124" s="55"/>
      <c r="PL124" s="55"/>
      <c r="PM124" s="55"/>
      <c r="PN124" s="55"/>
      <c r="PO124" s="55"/>
      <c r="PP124" s="55"/>
      <c r="PQ124" s="55"/>
      <c r="PR124" s="55"/>
      <c r="PS124" s="55"/>
      <c r="PT124" s="55"/>
      <c r="PU124" s="55"/>
      <c r="PZ124" s="55"/>
      <c r="QA124" s="55"/>
      <c r="QB124" s="55"/>
      <c r="QC124" s="55"/>
    </row>
    <row r="125" spans="24:445" ht="15" customHeight="1">
      <c r="X125" s="63"/>
      <c r="Y125" s="97"/>
      <c r="Z125" s="97"/>
      <c r="AA125" s="97"/>
      <c r="AB125" s="97"/>
      <c r="AJ125" s="63"/>
      <c r="CS125" s="426"/>
      <c r="CT125" s="426"/>
      <c r="CU125" s="426"/>
      <c r="CV125" s="426"/>
      <c r="CW125" s="426"/>
      <c r="DG125" s="55"/>
      <c r="DH125" s="55"/>
      <c r="DI125" s="55"/>
      <c r="DJ125" s="55"/>
      <c r="EE125" s="63"/>
      <c r="EF125" s="63"/>
      <c r="EG125" s="63"/>
      <c r="EH125" s="63"/>
      <c r="EL125" s="63"/>
      <c r="EM125" s="63"/>
      <c r="FW125" s="63"/>
      <c r="FX125" s="63"/>
      <c r="FY125" s="63"/>
      <c r="FZ125" s="63"/>
      <c r="GA125" s="63"/>
      <c r="GB125" s="63"/>
      <c r="GC125" s="63"/>
      <c r="GD125" s="63"/>
      <c r="GE125" s="63"/>
      <c r="GF125" s="63"/>
      <c r="GG125" s="63"/>
      <c r="GH125" s="63"/>
      <c r="GI125" s="63"/>
      <c r="GO125" s="63"/>
      <c r="GP125" s="63"/>
      <c r="GQ125" s="63"/>
      <c r="GR125" s="63"/>
      <c r="GT125" s="63"/>
      <c r="GU125" s="63"/>
      <c r="IR125" s="63"/>
      <c r="IS125" s="63"/>
      <c r="IT125" s="63"/>
      <c r="IU125" s="63"/>
      <c r="IV125" s="63"/>
      <c r="IW125" s="63"/>
      <c r="IX125" s="63"/>
      <c r="IY125" s="63"/>
      <c r="IZ125" s="63"/>
      <c r="JA125" s="63"/>
      <c r="JB125" s="63"/>
      <c r="JC125" s="63"/>
      <c r="JD125" s="63"/>
      <c r="JE125" s="63"/>
      <c r="JF125" s="63"/>
      <c r="JG125" s="63"/>
      <c r="JH125" s="63"/>
      <c r="JI125" s="63"/>
      <c r="JJ125" s="63"/>
      <c r="OF125" s="55"/>
      <c r="OG125" s="55"/>
      <c r="OH125" s="55"/>
      <c r="OI125" s="55"/>
      <c r="OJ125" s="55"/>
      <c r="OK125" s="55"/>
      <c r="OL125" s="55"/>
      <c r="OM125" s="55"/>
      <c r="ON125" s="55"/>
      <c r="OO125" s="55"/>
      <c r="OP125" s="55"/>
      <c r="OQ125" s="55"/>
      <c r="OR125" s="55"/>
      <c r="OS125" s="55"/>
      <c r="OT125" s="55"/>
      <c r="OU125" s="55"/>
      <c r="OV125" s="55"/>
      <c r="OW125" s="55"/>
      <c r="OX125" s="55"/>
      <c r="OY125" s="55"/>
      <c r="OZ125" s="55"/>
      <c r="PA125" s="55"/>
      <c r="PB125" s="55"/>
      <c r="PC125" s="55"/>
      <c r="PD125" s="55"/>
      <c r="PE125" s="55"/>
      <c r="PF125" s="55"/>
      <c r="PG125" s="55"/>
      <c r="PH125" s="55"/>
      <c r="PJ125" s="55"/>
      <c r="PK125" s="55"/>
      <c r="PL125" s="55"/>
      <c r="PM125" s="55"/>
      <c r="PN125" s="55"/>
      <c r="PO125" s="55"/>
      <c r="PP125" s="55"/>
      <c r="PQ125" s="55"/>
      <c r="PR125" s="55"/>
      <c r="PS125" s="55"/>
      <c r="PT125" s="55"/>
      <c r="PU125" s="55"/>
      <c r="PZ125" s="55"/>
      <c r="QA125" s="55"/>
      <c r="QB125" s="55"/>
      <c r="QC125" s="55"/>
    </row>
    <row r="126" spans="24:445" ht="15" customHeight="1">
      <c r="X126" s="63"/>
      <c r="Y126" s="97"/>
      <c r="Z126" s="97"/>
      <c r="AA126" s="97"/>
      <c r="AB126" s="97"/>
      <c r="AJ126" s="63"/>
      <c r="CS126" s="426"/>
      <c r="CT126" s="426"/>
      <c r="CU126" s="426"/>
      <c r="CV126" s="426"/>
      <c r="CW126" s="426"/>
      <c r="DG126" s="55"/>
      <c r="DH126" s="55"/>
      <c r="DI126" s="55"/>
      <c r="DJ126" s="55"/>
      <c r="EE126" s="63"/>
      <c r="EF126" s="63"/>
      <c r="EG126" s="63"/>
      <c r="EH126" s="63"/>
      <c r="EL126" s="63"/>
      <c r="EM126" s="63"/>
      <c r="FW126" s="63"/>
      <c r="FX126" s="63"/>
      <c r="FY126" s="63"/>
      <c r="FZ126" s="63"/>
      <c r="GA126" s="63"/>
      <c r="GB126" s="63"/>
      <c r="GC126" s="63"/>
      <c r="GD126" s="63"/>
      <c r="GE126" s="63"/>
      <c r="GF126" s="63"/>
      <c r="GG126" s="63"/>
      <c r="GH126" s="63"/>
      <c r="GI126" s="63"/>
      <c r="GO126" s="63"/>
      <c r="GP126" s="63"/>
      <c r="GQ126" s="63"/>
      <c r="GR126" s="63"/>
      <c r="GT126" s="63"/>
      <c r="GU126" s="63"/>
      <c r="IR126" s="63"/>
      <c r="IS126" s="63"/>
      <c r="IT126" s="63"/>
      <c r="IU126" s="63"/>
      <c r="IV126" s="63"/>
      <c r="IW126" s="63"/>
      <c r="IX126" s="63"/>
      <c r="IY126" s="63"/>
      <c r="IZ126" s="63"/>
      <c r="JA126" s="63"/>
      <c r="JB126" s="63"/>
      <c r="JC126" s="63"/>
      <c r="JD126" s="63"/>
      <c r="JE126" s="63"/>
      <c r="JF126" s="63"/>
      <c r="JG126" s="63"/>
      <c r="JH126" s="63"/>
      <c r="JI126" s="63"/>
      <c r="JJ126" s="63"/>
      <c r="OF126" s="55"/>
      <c r="OG126" s="55"/>
      <c r="OH126" s="55"/>
      <c r="OI126" s="55"/>
      <c r="OJ126" s="55"/>
      <c r="OK126" s="55"/>
      <c r="OL126" s="55"/>
      <c r="OM126" s="55"/>
      <c r="ON126" s="55"/>
      <c r="OO126" s="55"/>
      <c r="OP126" s="55"/>
      <c r="OQ126" s="55"/>
      <c r="OR126" s="55"/>
      <c r="OS126" s="55"/>
      <c r="OT126" s="55"/>
      <c r="OU126" s="55"/>
      <c r="OV126" s="55"/>
      <c r="OW126" s="55"/>
      <c r="OX126" s="55"/>
      <c r="OY126" s="55"/>
      <c r="OZ126" s="55"/>
      <c r="PA126" s="55"/>
      <c r="PB126" s="55"/>
      <c r="PC126" s="55"/>
      <c r="PD126" s="55"/>
      <c r="PE126" s="55"/>
      <c r="PF126" s="55"/>
      <c r="PG126" s="55"/>
      <c r="PH126" s="55"/>
      <c r="PJ126" s="55"/>
      <c r="PK126" s="55"/>
      <c r="PL126" s="55"/>
      <c r="PM126" s="55"/>
      <c r="PN126" s="55"/>
      <c r="PO126" s="55"/>
      <c r="PP126" s="55"/>
      <c r="PQ126" s="55"/>
      <c r="PR126" s="55"/>
      <c r="PS126" s="55"/>
      <c r="PT126" s="55"/>
      <c r="PU126" s="55"/>
      <c r="PZ126" s="55"/>
      <c r="QA126" s="55"/>
      <c r="QB126" s="55"/>
      <c r="QC126" s="55"/>
    </row>
    <row r="127" spans="24:445" ht="15" customHeight="1">
      <c r="X127" s="63"/>
      <c r="Y127" s="97"/>
      <c r="Z127" s="97"/>
      <c r="AA127" s="97"/>
      <c r="AB127" s="97"/>
      <c r="AJ127" s="63"/>
      <c r="CS127" s="426"/>
      <c r="CT127" s="426"/>
      <c r="CU127" s="426"/>
      <c r="CV127" s="426"/>
      <c r="CW127" s="426"/>
      <c r="DG127" s="55"/>
      <c r="DH127" s="55"/>
      <c r="DI127" s="55"/>
      <c r="DJ127" s="55"/>
      <c r="EE127" s="63"/>
      <c r="EF127" s="63"/>
      <c r="EG127" s="63"/>
      <c r="EH127" s="63"/>
      <c r="EL127" s="63"/>
      <c r="EM127" s="63"/>
      <c r="FW127" s="63"/>
      <c r="FX127" s="63"/>
      <c r="FY127" s="63"/>
      <c r="FZ127" s="63"/>
      <c r="GA127" s="63"/>
      <c r="GB127" s="63"/>
      <c r="GC127" s="63"/>
      <c r="GD127" s="63"/>
      <c r="GE127" s="63"/>
      <c r="GF127" s="63"/>
      <c r="GG127" s="63"/>
      <c r="GH127" s="63"/>
      <c r="GI127" s="63"/>
      <c r="GO127" s="63"/>
      <c r="GP127" s="63"/>
      <c r="GQ127" s="63"/>
      <c r="GR127" s="63"/>
      <c r="GT127" s="63"/>
      <c r="GU127" s="63"/>
      <c r="IR127" s="63"/>
      <c r="IS127" s="63"/>
      <c r="IT127" s="63"/>
      <c r="IU127" s="63"/>
      <c r="IV127" s="63"/>
      <c r="IW127" s="63"/>
      <c r="IX127" s="63"/>
      <c r="IY127" s="63"/>
      <c r="IZ127" s="63"/>
      <c r="JA127" s="63"/>
      <c r="JB127" s="63"/>
      <c r="JC127" s="63"/>
      <c r="JD127" s="63"/>
      <c r="JE127" s="63"/>
      <c r="JF127" s="63"/>
      <c r="JG127" s="63"/>
      <c r="JH127" s="63"/>
      <c r="JI127" s="63"/>
      <c r="JJ127" s="63"/>
      <c r="OF127" s="55"/>
      <c r="OG127" s="55"/>
      <c r="OH127" s="55"/>
      <c r="OI127" s="55"/>
      <c r="OJ127" s="55"/>
      <c r="OK127" s="55"/>
      <c r="OL127" s="55"/>
      <c r="OM127" s="55"/>
      <c r="ON127" s="55"/>
      <c r="OO127" s="55"/>
      <c r="OP127" s="55"/>
      <c r="OQ127" s="55"/>
      <c r="OR127" s="55"/>
      <c r="OS127" s="55"/>
      <c r="OT127" s="55"/>
      <c r="OU127" s="55"/>
      <c r="OV127" s="55"/>
      <c r="OW127" s="55"/>
      <c r="OX127" s="55"/>
      <c r="OY127" s="55"/>
      <c r="OZ127" s="55"/>
      <c r="PA127" s="55"/>
      <c r="PB127" s="55"/>
      <c r="PC127" s="55"/>
      <c r="PD127" s="55"/>
      <c r="PE127" s="55"/>
      <c r="PF127" s="55"/>
      <c r="PG127" s="55"/>
      <c r="PH127" s="55"/>
      <c r="PJ127" s="55"/>
      <c r="PK127" s="55"/>
      <c r="PL127" s="55"/>
      <c r="PM127" s="55"/>
      <c r="PN127" s="55"/>
      <c r="PO127" s="55"/>
      <c r="PP127" s="55"/>
      <c r="PQ127" s="55"/>
      <c r="PR127" s="55"/>
      <c r="PS127" s="55"/>
      <c r="PT127" s="55"/>
      <c r="PU127" s="55"/>
      <c r="PZ127" s="55"/>
      <c r="QA127" s="55"/>
      <c r="QB127" s="55"/>
      <c r="QC127" s="55"/>
    </row>
    <row r="128" spans="24:445" ht="15" customHeight="1">
      <c r="X128" s="63"/>
      <c r="Y128" s="97"/>
      <c r="Z128" s="97"/>
      <c r="AA128" s="97"/>
      <c r="AB128" s="97"/>
      <c r="AJ128" s="63"/>
      <c r="CS128" s="426"/>
      <c r="CT128" s="426"/>
      <c r="CU128" s="426"/>
      <c r="CV128" s="426"/>
      <c r="CW128" s="426"/>
      <c r="DB128" s="426"/>
      <c r="DC128" s="426"/>
      <c r="DD128" s="426"/>
      <c r="DE128" s="426"/>
      <c r="DG128" s="55"/>
      <c r="DH128" s="55"/>
      <c r="DI128" s="55"/>
      <c r="DJ128" s="55"/>
      <c r="EE128" s="63"/>
      <c r="EF128" s="63"/>
      <c r="EG128" s="63"/>
      <c r="EH128" s="63"/>
      <c r="EL128" s="63"/>
      <c r="EM128" s="63"/>
      <c r="FW128" s="63"/>
      <c r="FX128" s="63"/>
      <c r="FY128" s="63"/>
      <c r="FZ128" s="63"/>
      <c r="GA128" s="63"/>
      <c r="GB128" s="63"/>
      <c r="GC128" s="63"/>
      <c r="GD128" s="63"/>
      <c r="GE128" s="63"/>
      <c r="GF128" s="63"/>
      <c r="GG128" s="63"/>
      <c r="GH128" s="63"/>
      <c r="GI128" s="63"/>
      <c r="GO128" s="63"/>
      <c r="GP128" s="63"/>
      <c r="GQ128" s="63"/>
      <c r="GR128" s="63"/>
      <c r="GT128" s="63"/>
      <c r="GU128" s="63"/>
      <c r="IR128" s="63"/>
      <c r="IS128" s="63"/>
      <c r="IT128" s="63"/>
      <c r="IU128" s="63"/>
      <c r="IV128" s="63"/>
      <c r="IW128" s="63"/>
      <c r="IX128" s="63"/>
      <c r="IY128" s="63"/>
      <c r="IZ128" s="63"/>
      <c r="JA128" s="63"/>
      <c r="JB128" s="63"/>
      <c r="JC128" s="63"/>
      <c r="JD128" s="63"/>
      <c r="JE128" s="63"/>
      <c r="JF128" s="63"/>
      <c r="JG128" s="63"/>
      <c r="JH128" s="63"/>
      <c r="JI128" s="63"/>
      <c r="JJ128" s="63"/>
      <c r="OF128" s="55"/>
      <c r="OG128" s="55"/>
      <c r="OH128" s="55"/>
      <c r="OI128" s="55"/>
      <c r="OJ128" s="55"/>
      <c r="OK128" s="55"/>
      <c r="OL128" s="55"/>
      <c r="OM128" s="55"/>
      <c r="ON128" s="55"/>
      <c r="OO128" s="55"/>
      <c r="OP128" s="55"/>
      <c r="OQ128" s="55"/>
      <c r="OR128" s="55"/>
      <c r="OS128" s="55"/>
      <c r="OT128" s="55"/>
      <c r="OU128" s="55"/>
      <c r="OV128" s="55"/>
      <c r="OW128" s="55"/>
      <c r="OX128" s="55"/>
      <c r="OY128" s="55"/>
      <c r="OZ128" s="55"/>
      <c r="PA128" s="55"/>
      <c r="PB128" s="55"/>
      <c r="PC128" s="55"/>
      <c r="PD128" s="55"/>
      <c r="PE128" s="55"/>
      <c r="PF128" s="55"/>
      <c r="PG128" s="55"/>
      <c r="PH128" s="55"/>
      <c r="PJ128" s="55"/>
      <c r="PK128" s="55"/>
      <c r="PL128" s="55"/>
      <c r="PM128" s="55"/>
      <c r="PN128" s="55"/>
      <c r="PO128" s="55"/>
      <c r="PP128" s="55"/>
      <c r="PQ128" s="55"/>
      <c r="PR128" s="55"/>
      <c r="PS128" s="55"/>
      <c r="PT128" s="55"/>
      <c r="PU128" s="55"/>
      <c r="PZ128" s="55"/>
      <c r="QA128" s="55"/>
      <c r="QB128" s="55"/>
      <c r="QC128" s="55"/>
    </row>
    <row r="129" spans="24:445" ht="15" customHeight="1">
      <c r="X129" s="63"/>
      <c r="Y129" s="97"/>
      <c r="Z129" s="97"/>
      <c r="AA129" s="97"/>
      <c r="AB129" s="97"/>
      <c r="AJ129" s="63"/>
      <c r="CS129" s="426"/>
      <c r="CT129" s="426"/>
      <c r="CU129" s="426"/>
      <c r="CV129" s="426"/>
      <c r="CW129" s="426"/>
      <c r="DB129" s="426"/>
      <c r="DC129" s="426"/>
      <c r="DD129" s="426"/>
      <c r="DE129" s="426"/>
      <c r="DG129" s="55"/>
      <c r="DH129" s="55"/>
      <c r="DI129" s="55"/>
      <c r="DJ129" s="55"/>
      <c r="EE129" s="63"/>
      <c r="EF129" s="63"/>
      <c r="EG129" s="63"/>
      <c r="EH129" s="63"/>
      <c r="EL129" s="63"/>
      <c r="EM129" s="63"/>
      <c r="FW129" s="63"/>
      <c r="FX129" s="63"/>
      <c r="FY129" s="63"/>
      <c r="FZ129" s="63"/>
      <c r="GA129" s="63"/>
      <c r="GB129" s="63"/>
      <c r="GC129" s="63"/>
      <c r="GD129" s="63"/>
      <c r="GE129" s="63"/>
      <c r="GF129" s="63"/>
      <c r="GG129" s="63"/>
      <c r="GH129" s="63"/>
      <c r="GI129" s="63"/>
      <c r="GO129" s="63"/>
      <c r="GP129" s="63"/>
      <c r="GQ129" s="63"/>
      <c r="GR129" s="63"/>
      <c r="GT129" s="63"/>
      <c r="GU129" s="63"/>
      <c r="IR129" s="63"/>
      <c r="IS129" s="63"/>
      <c r="IT129" s="63"/>
      <c r="IU129" s="63"/>
      <c r="IV129" s="63"/>
      <c r="IW129" s="63"/>
      <c r="IX129" s="63"/>
      <c r="IY129" s="63"/>
      <c r="IZ129" s="63"/>
      <c r="JA129" s="63"/>
      <c r="JB129" s="63"/>
      <c r="JC129" s="63"/>
      <c r="JD129" s="63"/>
      <c r="JE129" s="63"/>
      <c r="JF129" s="63"/>
      <c r="JG129" s="63"/>
      <c r="JH129" s="63"/>
      <c r="JI129" s="63"/>
      <c r="JJ129" s="63"/>
      <c r="OF129" s="55"/>
      <c r="OG129" s="55"/>
      <c r="OH129" s="55"/>
      <c r="OI129" s="55"/>
      <c r="OJ129" s="55"/>
      <c r="OK129" s="55"/>
      <c r="OL129" s="55"/>
      <c r="OM129" s="55"/>
      <c r="ON129" s="55"/>
      <c r="OO129" s="55"/>
      <c r="OP129" s="55"/>
      <c r="OQ129" s="55"/>
      <c r="OR129" s="55"/>
      <c r="OS129" s="55"/>
      <c r="OT129" s="55"/>
      <c r="OU129" s="55"/>
      <c r="OV129" s="55"/>
      <c r="OW129" s="55"/>
      <c r="OX129" s="55"/>
      <c r="OY129" s="55"/>
      <c r="OZ129" s="55"/>
      <c r="PA129" s="55"/>
      <c r="PB129" s="55"/>
      <c r="PC129" s="55"/>
      <c r="PD129" s="55"/>
      <c r="PE129" s="55"/>
      <c r="PF129" s="55"/>
      <c r="PG129" s="55"/>
      <c r="PH129" s="55"/>
      <c r="PJ129" s="55"/>
      <c r="PK129" s="55"/>
      <c r="PL129" s="55"/>
      <c r="PM129" s="55"/>
      <c r="PN129" s="55"/>
      <c r="PO129" s="55"/>
      <c r="PP129" s="55"/>
      <c r="PQ129" s="55"/>
      <c r="PR129" s="55"/>
      <c r="PS129" s="55"/>
      <c r="PT129" s="55"/>
      <c r="PU129" s="55"/>
      <c r="PZ129" s="55"/>
      <c r="QA129" s="55"/>
      <c r="QB129" s="55"/>
      <c r="QC129" s="55"/>
    </row>
    <row r="130" spans="24:445" ht="15" customHeight="1">
      <c r="X130" s="63"/>
      <c r="Y130" s="97"/>
      <c r="Z130" s="97"/>
      <c r="AA130" s="97"/>
      <c r="AB130" s="97"/>
      <c r="AJ130" s="63"/>
      <c r="CS130" s="426"/>
      <c r="CT130" s="426"/>
      <c r="CU130" s="426"/>
      <c r="CV130" s="426"/>
      <c r="CW130" s="426"/>
      <c r="DB130" s="426"/>
      <c r="DC130" s="426"/>
      <c r="DD130" s="426"/>
      <c r="DE130" s="426"/>
      <c r="DG130" s="55"/>
      <c r="DH130" s="55"/>
      <c r="DI130" s="55"/>
      <c r="DJ130" s="55"/>
      <c r="EE130" s="63"/>
      <c r="EF130" s="63"/>
      <c r="EG130" s="63"/>
      <c r="EH130" s="63"/>
      <c r="EL130" s="63"/>
      <c r="EM130" s="63"/>
      <c r="GO130" s="63"/>
      <c r="GP130" s="63"/>
      <c r="GQ130" s="63"/>
      <c r="GR130" s="63"/>
      <c r="GT130" s="63"/>
      <c r="GU130" s="63"/>
      <c r="IR130" s="63"/>
      <c r="IS130" s="63"/>
      <c r="IT130" s="63"/>
      <c r="IU130" s="63"/>
      <c r="IV130" s="63"/>
      <c r="IW130" s="63"/>
      <c r="IX130" s="63"/>
      <c r="IY130" s="63"/>
      <c r="IZ130" s="63"/>
      <c r="JA130" s="63"/>
      <c r="JB130" s="63"/>
      <c r="JC130" s="63"/>
      <c r="JD130" s="63"/>
      <c r="JE130" s="63"/>
      <c r="JF130" s="63"/>
      <c r="JG130" s="63"/>
      <c r="JH130" s="63"/>
      <c r="JI130" s="63"/>
      <c r="JJ130" s="63"/>
      <c r="OF130" s="55"/>
      <c r="OG130" s="55"/>
      <c r="OH130" s="55"/>
      <c r="OI130" s="55"/>
      <c r="OJ130" s="55"/>
      <c r="OK130" s="55"/>
      <c r="OL130" s="55"/>
      <c r="OM130" s="55"/>
      <c r="ON130" s="55"/>
      <c r="OO130" s="55"/>
      <c r="OP130" s="55"/>
      <c r="OQ130" s="55"/>
      <c r="OR130" s="55"/>
      <c r="OS130" s="55"/>
      <c r="OT130" s="55"/>
      <c r="OU130" s="55"/>
      <c r="OV130" s="55"/>
      <c r="OW130" s="55"/>
      <c r="OX130" s="55"/>
      <c r="OY130" s="55"/>
      <c r="OZ130" s="55"/>
      <c r="PA130" s="55"/>
      <c r="PB130" s="55"/>
      <c r="PC130" s="55"/>
      <c r="PD130" s="55"/>
      <c r="PE130" s="55"/>
      <c r="PF130" s="55"/>
      <c r="PG130" s="55"/>
      <c r="PH130" s="55"/>
      <c r="PJ130" s="55"/>
      <c r="PK130" s="55"/>
      <c r="PL130" s="55"/>
      <c r="PM130" s="55"/>
      <c r="PN130" s="55"/>
      <c r="PO130" s="55"/>
      <c r="PP130" s="55"/>
      <c r="PQ130" s="55"/>
      <c r="PR130" s="55"/>
      <c r="PS130" s="55"/>
      <c r="PT130" s="55"/>
      <c r="PU130" s="55"/>
      <c r="PZ130" s="55"/>
      <c r="QA130" s="55"/>
      <c r="QB130" s="55"/>
      <c r="QC130" s="55"/>
    </row>
    <row r="131" spans="24:445" ht="15" customHeight="1">
      <c r="X131" s="63"/>
      <c r="Y131" s="97"/>
      <c r="Z131" s="97"/>
      <c r="AA131" s="97"/>
      <c r="AB131" s="97"/>
      <c r="AJ131" s="63"/>
      <c r="CS131" s="426"/>
      <c r="CT131" s="426"/>
      <c r="CU131" s="426"/>
      <c r="CV131" s="426"/>
      <c r="CW131" s="426"/>
      <c r="DB131" s="426"/>
      <c r="DC131" s="426"/>
      <c r="DD131" s="426"/>
      <c r="DE131" s="426"/>
      <c r="DG131" s="55"/>
      <c r="DH131" s="55"/>
      <c r="DI131" s="55"/>
      <c r="DJ131" s="55"/>
      <c r="EE131" s="63"/>
      <c r="EF131" s="63"/>
      <c r="EG131" s="63"/>
      <c r="EH131" s="63"/>
      <c r="EL131" s="63"/>
      <c r="EM131" s="63"/>
      <c r="GO131" s="63"/>
      <c r="GP131" s="63"/>
      <c r="GQ131" s="63"/>
      <c r="GR131" s="63"/>
      <c r="GT131" s="63"/>
      <c r="GU131" s="63"/>
      <c r="IR131" s="63"/>
      <c r="IS131" s="63"/>
      <c r="IT131" s="63"/>
      <c r="IU131" s="63"/>
      <c r="IV131" s="63"/>
      <c r="IW131" s="63"/>
      <c r="IX131" s="63"/>
      <c r="IY131" s="63"/>
      <c r="IZ131" s="63"/>
      <c r="JA131" s="63"/>
      <c r="JB131" s="63"/>
      <c r="JC131" s="63"/>
      <c r="JD131" s="63"/>
      <c r="JE131" s="63"/>
      <c r="JF131" s="63"/>
      <c r="JG131" s="63"/>
      <c r="JH131" s="63"/>
      <c r="JI131" s="63"/>
      <c r="JJ131" s="63"/>
      <c r="OF131" s="55"/>
      <c r="OG131" s="55"/>
      <c r="OH131" s="55"/>
      <c r="OI131" s="55"/>
      <c r="OJ131" s="55"/>
      <c r="OK131" s="55"/>
      <c r="OL131" s="55"/>
      <c r="OM131" s="55"/>
      <c r="ON131" s="55"/>
      <c r="OO131" s="55"/>
      <c r="OP131" s="55"/>
      <c r="OQ131" s="55"/>
      <c r="OR131" s="55"/>
      <c r="OS131" s="55"/>
      <c r="OT131" s="55"/>
      <c r="OU131" s="55"/>
      <c r="OV131" s="55"/>
      <c r="OW131" s="55"/>
      <c r="OX131" s="55"/>
      <c r="OY131" s="55"/>
      <c r="OZ131" s="55"/>
      <c r="PA131" s="55"/>
      <c r="PB131" s="55"/>
      <c r="PC131" s="55"/>
      <c r="PD131" s="55"/>
      <c r="PE131" s="55"/>
      <c r="PF131" s="55"/>
      <c r="PG131" s="55"/>
      <c r="PH131" s="55"/>
      <c r="PJ131" s="55"/>
      <c r="PK131" s="55"/>
      <c r="PL131" s="55"/>
      <c r="PM131" s="55"/>
      <c r="PN131" s="55"/>
      <c r="PO131" s="55"/>
      <c r="PP131" s="55"/>
      <c r="PQ131" s="55"/>
      <c r="PR131" s="55"/>
      <c r="PS131" s="55"/>
      <c r="PT131" s="55"/>
      <c r="PU131" s="55"/>
      <c r="PZ131" s="55"/>
      <c r="QA131" s="55"/>
      <c r="QB131" s="55"/>
      <c r="QC131" s="55"/>
    </row>
    <row r="132" spans="24:445">
      <c r="X132" s="63"/>
      <c r="Y132" s="97"/>
      <c r="Z132" s="97"/>
      <c r="AA132" s="97"/>
      <c r="AB132" s="97"/>
      <c r="AJ132" s="63"/>
      <c r="CS132" s="426"/>
      <c r="CT132" s="426"/>
      <c r="CU132" s="426"/>
      <c r="CV132" s="426"/>
      <c r="CW132" s="426"/>
      <c r="DB132" s="426"/>
      <c r="DC132" s="426"/>
      <c r="DD132" s="426"/>
      <c r="DE132" s="426"/>
      <c r="DG132" s="55"/>
      <c r="DH132" s="55"/>
      <c r="DI132" s="55"/>
      <c r="DJ132" s="55"/>
      <c r="EE132" s="63"/>
      <c r="EF132" s="63"/>
      <c r="EG132" s="63"/>
      <c r="EH132" s="63"/>
      <c r="EL132" s="63"/>
      <c r="EM132" s="63"/>
      <c r="GO132" s="63"/>
      <c r="GP132" s="63"/>
      <c r="GQ132" s="63"/>
      <c r="GR132" s="63"/>
      <c r="GT132" s="63"/>
      <c r="GU132" s="63"/>
      <c r="IR132" s="63"/>
      <c r="IS132" s="63"/>
      <c r="IT132" s="63"/>
      <c r="IU132" s="63"/>
      <c r="IV132" s="63"/>
      <c r="IW132" s="63"/>
      <c r="IX132" s="63"/>
      <c r="IY132" s="63"/>
      <c r="IZ132" s="63"/>
      <c r="JA132" s="63"/>
      <c r="JB132" s="63"/>
      <c r="JC132" s="63"/>
      <c r="JD132" s="63"/>
      <c r="JE132" s="63"/>
      <c r="JF132" s="63"/>
      <c r="JG132" s="63"/>
      <c r="JH132" s="63"/>
      <c r="JI132" s="63"/>
      <c r="JJ132" s="63"/>
      <c r="OF132" s="55"/>
      <c r="OG132" s="55"/>
      <c r="OH132" s="55"/>
      <c r="OI132" s="55"/>
      <c r="OJ132" s="55"/>
      <c r="OK132" s="55"/>
      <c r="OL132" s="55"/>
      <c r="OM132" s="55"/>
      <c r="ON132" s="55"/>
      <c r="OO132" s="55"/>
      <c r="OP132" s="55"/>
      <c r="OQ132" s="55"/>
      <c r="OR132" s="55"/>
      <c r="OS132" s="55"/>
      <c r="OT132" s="55"/>
      <c r="OU132" s="55"/>
      <c r="OV132" s="55"/>
      <c r="OW132" s="55"/>
      <c r="OX132" s="55"/>
      <c r="OY132" s="55"/>
      <c r="OZ132" s="55"/>
      <c r="PA132" s="55"/>
      <c r="PB132" s="55"/>
      <c r="PC132" s="55"/>
      <c r="PD132" s="55"/>
      <c r="PE132" s="55"/>
      <c r="PF132" s="55"/>
      <c r="PG132" s="55"/>
      <c r="PH132" s="55"/>
      <c r="PJ132" s="55"/>
      <c r="PK132" s="55"/>
      <c r="PL132" s="55"/>
      <c r="PM132" s="55"/>
      <c r="PN132" s="55"/>
      <c r="PO132" s="55"/>
      <c r="PP132" s="55"/>
      <c r="PQ132" s="55"/>
      <c r="PR132" s="55"/>
      <c r="PS132" s="55"/>
      <c r="PT132" s="55"/>
      <c r="PU132" s="55"/>
      <c r="PZ132" s="55"/>
      <c r="QA132" s="55"/>
      <c r="QB132" s="55"/>
      <c r="QC132" s="55"/>
    </row>
    <row r="133" spans="24:445">
      <c r="AJ133" s="63"/>
      <c r="CS133" s="426"/>
      <c r="CT133" s="426"/>
      <c r="CU133" s="426"/>
      <c r="CV133" s="426"/>
      <c r="CW133" s="426"/>
      <c r="DB133" s="426"/>
      <c r="DC133" s="426"/>
      <c r="DD133" s="426"/>
      <c r="DE133" s="426"/>
      <c r="DG133" s="55"/>
      <c r="DH133" s="55"/>
      <c r="DI133" s="55"/>
      <c r="DJ133" s="55"/>
      <c r="EE133" s="63"/>
      <c r="EF133" s="63"/>
      <c r="EG133" s="63"/>
      <c r="EH133" s="63"/>
      <c r="EL133" s="63"/>
      <c r="EM133" s="63"/>
      <c r="GO133" s="63"/>
      <c r="GP133" s="63"/>
      <c r="GQ133" s="63"/>
      <c r="GR133" s="63"/>
      <c r="GT133" s="63"/>
      <c r="GU133" s="63"/>
      <c r="IR133" s="63"/>
      <c r="IS133" s="63"/>
      <c r="IT133" s="63"/>
      <c r="IU133" s="63"/>
      <c r="IV133" s="63"/>
      <c r="IW133" s="63"/>
      <c r="IX133" s="63"/>
      <c r="IY133" s="63"/>
      <c r="IZ133" s="63"/>
      <c r="JA133" s="63"/>
      <c r="JB133" s="63"/>
      <c r="JC133" s="63"/>
      <c r="JD133" s="63"/>
      <c r="JE133" s="63"/>
      <c r="JF133" s="63"/>
      <c r="JG133" s="63"/>
      <c r="JH133" s="63"/>
      <c r="JI133" s="63"/>
      <c r="JJ133" s="63"/>
      <c r="OF133" s="55"/>
      <c r="OG133" s="55"/>
      <c r="OH133" s="55"/>
      <c r="OI133" s="55"/>
      <c r="OJ133" s="55"/>
      <c r="OK133" s="55"/>
      <c r="OL133" s="55"/>
      <c r="OM133" s="55"/>
      <c r="ON133" s="55"/>
      <c r="OO133" s="55"/>
      <c r="OP133" s="55"/>
      <c r="OQ133" s="55"/>
      <c r="OR133" s="55"/>
      <c r="OS133" s="55"/>
      <c r="OT133" s="55"/>
      <c r="OU133" s="55"/>
      <c r="OV133" s="55"/>
      <c r="OW133" s="55"/>
      <c r="OX133" s="55"/>
      <c r="OY133" s="55"/>
      <c r="OZ133" s="55"/>
      <c r="PA133" s="55"/>
      <c r="PB133" s="55"/>
      <c r="PC133" s="55"/>
      <c r="PD133" s="55"/>
      <c r="PE133" s="55"/>
      <c r="PF133" s="55"/>
      <c r="PG133" s="55"/>
      <c r="PH133" s="55"/>
      <c r="PJ133" s="55"/>
      <c r="PK133" s="55"/>
      <c r="PL133" s="55"/>
      <c r="PM133" s="55"/>
      <c r="PN133" s="55"/>
      <c r="PO133" s="55"/>
      <c r="PP133" s="55"/>
      <c r="PQ133" s="55"/>
      <c r="PR133" s="55"/>
      <c r="PS133" s="55"/>
      <c r="PT133" s="55"/>
      <c r="PU133" s="55"/>
      <c r="PZ133" s="55"/>
      <c r="QA133" s="55"/>
      <c r="QB133" s="55"/>
      <c r="QC133" s="55"/>
    </row>
    <row r="134" spans="24:445">
      <c r="AJ134" s="63"/>
      <c r="CS134" s="426"/>
      <c r="CT134" s="426"/>
      <c r="CU134" s="426"/>
      <c r="CV134" s="426"/>
      <c r="CW134" s="426"/>
      <c r="DB134" s="426"/>
      <c r="DC134" s="426"/>
      <c r="DD134" s="426"/>
      <c r="DE134" s="426"/>
      <c r="DG134" s="55"/>
      <c r="DH134" s="55"/>
      <c r="DI134" s="55"/>
      <c r="DJ134" s="55"/>
      <c r="EE134" s="63"/>
      <c r="EF134" s="63"/>
      <c r="EG134" s="63"/>
      <c r="EH134" s="63"/>
      <c r="EL134" s="63"/>
      <c r="EM134" s="63"/>
      <c r="GO134" s="63"/>
      <c r="GP134" s="63"/>
      <c r="GQ134" s="63"/>
      <c r="GR134" s="63"/>
      <c r="GT134" s="63"/>
      <c r="GU134" s="63"/>
      <c r="IR134" s="63"/>
      <c r="IS134" s="63"/>
      <c r="IT134" s="63"/>
      <c r="IU134" s="63"/>
      <c r="IV134" s="63"/>
      <c r="IW134" s="63"/>
      <c r="IX134" s="63"/>
      <c r="IY134" s="63"/>
      <c r="IZ134" s="63"/>
      <c r="JA134" s="63"/>
      <c r="JB134" s="63"/>
      <c r="JC134" s="63"/>
      <c r="JD134" s="63"/>
      <c r="JE134" s="63"/>
      <c r="JF134" s="63"/>
      <c r="JG134" s="63"/>
      <c r="JH134" s="63"/>
      <c r="JI134" s="63"/>
      <c r="JJ134" s="63"/>
      <c r="OF134" s="55"/>
      <c r="OG134" s="55"/>
      <c r="OH134" s="55"/>
      <c r="OI134" s="55"/>
      <c r="OJ134" s="55"/>
      <c r="OK134" s="55"/>
      <c r="OL134" s="55"/>
      <c r="OM134" s="55"/>
      <c r="ON134" s="55"/>
      <c r="OO134" s="55"/>
      <c r="OP134" s="55"/>
      <c r="OQ134" s="55"/>
      <c r="OR134" s="55"/>
      <c r="OS134" s="55"/>
      <c r="OT134" s="55"/>
      <c r="OU134" s="55"/>
      <c r="OV134" s="55"/>
      <c r="OW134" s="55"/>
      <c r="OX134" s="55"/>
      <c r="OY134" s="55"/>
      <c r="OZ134" s="55"/>
      <c r="PA134" s="55"/>
      <c r="PB134" s="55"/>
      <c r="PC134" s="55"/>
      <c r="PD134" s="55"/>
      <c r="PE134" s="55"/>
      <c r="PF134" s="55"/>
      <c r="PG134" s="55"/>
      <c r="PH134" s="55"/>
      <c r="PJ134" s="55"/>
      <c r="PK134" s="55"/>
      <c r="PL134" s="55"/>
      <c r="PM134" s="55"/>
      <c r="PN134" s="55"/>
      <c r="PO134" s="55"/>
      <c r="PP134" s="55"/>
      <c r="PQ134" s="55"/>
      <c r="PR134" s="55"/>
      <c r="PS134" s="55"/>
      <c r="PT134" s="55"/>
      <c r="PU134" s="55"/>
      <c r="PZ134" s="55"/>
      <c r="QA134" s="55"/>
      <c r="QB134" s="55"/>
      <c r="QC134" s="55"/>
    </row>
    <row r="135" spans="24:445">
      <c r="AJ135" s="63"/>
      <c r="CS135" s="426"/>
      <c r="CT135" s="426"/>
      <c r="CU135" s="426"/>
      <c r="CV135" s="426"/>
      <c r="CW135" s="426"/>
      <c r="DB135" s="426"/>
      <c r="DC135" s="426"/>
      <c r="DD135" s="426"/>
      <c r="DE135" s="426"/>
      <c r="DG135" s="55"/>
      <c r="DH135" s="55"/>
      <c r="DI135" s="55"/>
      <c r="DJ135" s="55"/>
      <c r="EE135" s="63"/>
      <c r="EF135" s="63"/>
      <c r="EG135" s="63"/>
      <c r="EH135" s="63"/>
      <c r="EL135" s="63"/>
      <c r="EM135" s="63"/>
      <c r="GO135" s="63"/>
      <c r="GP135" s="63"/>
      <c r="GQ135" s="63"/>
      <c r="GR135" s="63"/>
      <c r="GT135" s="63"/>
      <c r="GU135" s="63"/>
      <c r="IR135" s="63"/>
      <c r="IS135" s="63"/>
      <c r="IT135" s="63"/>
      <c r="IU135" s="63"/>
      <c r="IV135" s="63"/>
      <c r="IW135" s="63"/>
      <c r="IX135" s="63"/>
      <c r="IY135" s="63"/>
      <c r="IZ135" s="63"/>
      <c r="JA135" s="63"/>
      <c r="JB135" s="63"/>
      <c r="JC135" s="63"/>
      <c r="JD135" s="63"/>
      <c r="JE135" s="63"/>
      <c r="JF135" s="63"/>
      <c r="JG135" s="63"/>
      <c r="JH135" s="63"/>
      <c r="JI135" s="63"/>
      <c r="JJ135" s="63"/>
      <c r="OF135" s="55"/>
      <c r="OG135" s="55"/>
      <c r="OH135" s="55"/>
      <c r="OI135" s="55"/>
      <c r="OJ135" s="55"/>
      <c r="OK135" s="55"/>
      <c r="OL135" s="55"/>
      <c r="OM135" s="55"/>
      <c r="ON135" s="55"/>
      <c r="OO135" s="55"/>
      <c r="OP135" s="55"/>
      <c r="OQ135" s="55"/>
      <c r="OR135" s="55"/>
      <c r="OS135" s="55"/>
      <c r="OT135" s="55"/>
      <c r="OU135" s="55"/>
      <c r="OV135" s="55"/>
      <c r="OW135" s="55"/>
      <c r="OX135" s="55"/>
      <c r="OY135" s="55"/>
      <c r="OZ135" s="55"/>
      <c r="PA135" s="55"/>
      <c r="PB135" s="55"/>
      <c r="PC135" s="55"/>
      <c r="PD135" s="55"/>
      <c r="PE135" s="55"/>
      <c r="PF135" s="55"/>
      <c r="PG135" s="55"/>
      <c r="PH135" s="55"/>
      <c r="PJ135" s="55"/>
      <c r="PK135" s="55"/>
      <c r="PL135" s="55"/>
      <c r="PM135" s="55"/>
      <c r="PN135" s="55"/>
      <c r="PO135" s="55"/>
      <c r="PP135" s="55"/>
      <c r="PQ135" s="55"/>
      <c r="PR135" s="55"/>
      <c r="PS135" s="55"/>
      <c r="PT135" s="55"/>
      <c r="PU135" s="55"/>
      <c r="PZ135" s="55"/>
      <c r="QA135" s="55"/>
      <c r="QB135" s="55"/>
      <c r="QC135" s="55"/>
    </row>
    <row r="136" spans="24:445" ht="15" customHeight="1">
      <c r="AJ136" s="63"/>
      <c r="CS136" s="426"/>
      <c r="CT136" s="426"/>
      <c r="CU136" s="426"/>
      <c r="CV136" s="426"/>
      <c r="CW136" s="426"/>
      <c r="DB136" s="426"/>
      <c r="DC136" s="426"/>
      <c r="DD136" s="426"/>
      <c r="DE136" s="426"/>
      <c r="DG136" s="55"/>
      <c r="DH136" s="55"/>
      <c r="DI136" s="55"/>
      <c r="DJ136" s="55"/>
      <c r="EE136" s="63"/>
      <c r="EF136" s="63"/>
      <c r="EG136" s="63"/>
      <c r="EH136" s="63"/>
      <c r="EL136" s="63"/>
      <c r="EM136" s="63"/>
      <c r="GO136" s="63"/>
      <c r="GP136" s="63"/>
      <c r="GQ136" s="63"/>
      <c r="GR136" s="63"/>
      <c r="GT136" s="63"/>
      <c r="GU136" s="63"/>
      <c r="IR136" s="63"/>
      <c r="IS136" s="63"/>
      <c r="IT136" s="63"/>
      <c r="IU136" s="63"/>
      <c r="IV136" s="63"/>
      <c r="IW136" s="63"/>
      <c r="IX136" s="63"/>
      <c r="IY136" s="63"/>
      <c r="IZ136" s="63"/>
      <c r="JA136" s="63"/>
      <c r="JB136" s="63"/>
      <c r="JC136" s="63"/>
      <c r="JD136" s="63"/>
      <c r="JE136" s="63"/>
      <c r="JF136" s="63"/>
      <c r="JG136" s="63"/>
      <c r="JH136" s="63"/>
      <c r="JI136" s="63"/>
      <c r="JJ136" s="63"/>
      <c r="OF136" s="55"/>
      <c r="OG136" s="55"/>
      <c r="OH136" s="55"/>
      <c r="OI136" s="55"/>
      <c r="OJ136" s="55"/>
      <c r="OK136" s="55"/>
      <c r="OL136" s="55"/>
      <c r="OM136" s="55"/>
      <c r="ON136" s="55"/>
      <c r="OO136" s="55"/>
      <c r="OP136" s="55"/>
      <c r="OQ136" s="55"/>
      <c r="OR136" s="55"/>
      <c r="OS136" s="55"/>
      <c r="OT136" s="55"/>
      <c r="OU136" s="55"/>
      <c r="OV136" s="55"/>
      <c r="OW136" s="55"/>
      <c r="OX136" s="55"/>
      <c r="OY136" s="55"/>
      <c r="OZ136" s="55"/>
      <c r="PA136" s="55"/>
      <c r="PB136" s="55"/>
      <c r="PC136" s="55"/>
      <c r="PD136" s="55"/>
      <c r="PE136" s="55"/>
      <c r="PF136" s="55"/>
      <c r="PG136" s="55"/>
      <c r="PH136" s="55"/>
      <c r="PJ136" s="55"/>
      <c r="PK136" s="55"/>
      <c r="PL136" s="55"/>
      <c r="PM136" s="55"/>
      <c r="PN136" s="55"/>
      <c r="PO136" s="55"/>
      <c r="PP136" s="55"/>
      <c r="PQ136" s="55"/>
      <c r="PR136" s="55"/>
      <c r="PS136" s="55"/>
      <c r="PT136" s="55"/>
      <c r="PU136" s="55"/>
      <c r="PZ136" s="55"/>
      <c r="QA136" s="55"/>
      <c r="QB136" s="55"/>
      <c r="QC136" s="55"/>
    </row>
    <row r="137" spans="24:445" ht="15" customHeight="1">
      <c r="AJ137" s="63"/>
      <c r="CS137" s="426"/>
      <c r="CT137" s="426"/>
      <c r="CU137" s="426"/>
      <c r="CV137" s="426"/>
      <c r="CW137" s="426"/>
      <c r="DB137" s="426"/>
      <c r="DC137" s="426"/>
      <c r="DD137" s="426"/>
      <c r="DE137" s="426"/>
      <c r="DG137" s="55"/>
      <c r="DH137" s="55"/>
      <c r="DI137" s="55"/>
      <c r="DJ137" s="55"/>
      <c r="EE137" s="63"/>
      <c r="EF137" s="63"/>
      <c r="EG137" s="63"/>
      <c r="EH137" s="63"/>
      <c r="EL137" s="63"/>
      <c r="EM137" s="63"/>
      <c r="GO137" s="63"/>
      <c r="GP137" s="63"/>
      <c r="GQ137" s="63"/>
      <c r="GR137" s="63"/>
      <c r="GT137" s="63"/>
      <c r="GU137" s="63"/>
      <c r="IR137" s="63"/>
      <c r="IS137" s="63"/>
      <c r="IT137" s="63"/>
      <c r="IU137" s="63"/>
      <c r="IV137" s="63"/>
      <c r="IW137" s="63"/>
      <c r="IX137" s="63"/>
      <c r="IY137" s="63"/>
      <c r="IZ137" s="63"/>
      <c r="JA137" s="63"/>
      <c r="JB137" s="63"/>
      <c r="JC137" s="63"/>
      <c r="JD137" s="63"/>
      <c r="JE137" s="63"/>
      <c r="JF137" s="63"/>
      <c r="JG137" s="63"/>
      <c r="JH137" s="63"/>
      <c r="JI137" s="63"/>
      <c r="JJ137" s="63"/>
      <c r="OF137" s="55"/>
      <c r="OG137" s="55"/>
      <c r="OH137" s="55"/>
      <c r="OI137" s="55"/>
      <c r="OJ137" s="55"/>
      <c r="OK137" s="55"/>
      <c r="OL137" s="55"/>
      <c r="OM137" s="55"/>
      <c r="ON137" s="55"/>
      <c r="OO137" s="55"/>
      <c r="OP137" s="55"/>
      <c r="OQ137" s="55"/>
      <c r="OR137" s="55"/>
      <c r="OS137" s="55"/>
      <c r="OT137" s="55"/>
      <c r="OU137" s="55"/>
      <c r="OV137" s="55"/>
      <c r="OW137" s="55"/>
      <c r="OX137" s="55"/>
      <c r="OY137" s="55"/>
      <c r="OZ137" s="55"/>
      <c r="PA137" s="55"/>
      <c r="PB137" s="55"/>
      <c r="PC137" s="55"/>
      <c r="PD137" s="55"/>
      <c r="PE137" s="55"/>
      <c r="PF137" s="55"/>
      <c r="PG137" s="55"/>
      <c r="PH137" s="55"/>
      <c r="PJ137" s="55"/>
      <c r="PK137" s="55"/>
      <c r="PL137" s="55"/>
      <c r="PM137" s="55"/>
      <c r="PN137" s="55"/>
      <c r="PO137" s="55"/>
      <c r="PP137" s="55"/>
      <c r="PQ137" s="55"/>
      <c r="PR137" s="55"/>
      <c r="PS137" s="55"/>
      <c r="PT137" s="55"/>
      <c r="PU137" s="55"/>
      <c r="PZ137" s="55"/>
      <c r="QA137" s="55"/>
      <c r="QB137" s="55"/>
      <c r="QC137" s="55"/>
    </row>
    <row r="138" spans="24:445" ht="15" customHeight="1">
      <c r="AJ138" s="63"/>
      <c r="CS138" s="426"/>
      <c r="CT138" s="426"/>
      <c r="CU138" s="426"/>
      <c r="CV138" s="426"/>
      <c r="CW138" s="426"/>
      <c r="DB138" s="426"/>
      <c r="DC138" s="426"/>
      <c r="DD138" s="426"/>
      <c r="DE138" s="426"/>
      <c r="DG138" s="55"/>
      <c r="DH138" s="55"/>
      <c r="DI138" s="55"/>
      <c r="DJ138" s="55"/>
      <c r="EE138" s="63"/>
      <c r="EF138" s="63"/>
      <c r="EG138" s="63"/>
      <c r="EH138" s="63"/>
      <c r="EL138" s="63"/>
      <c r="EM138" s="63"/>
      <c r="GO138" s="63"/>
      <c r="GP138" s="63"/>
      <c r="GQ138" s="63"/>
      <c r="GR138" s="63"/>
      <c r="GT138" s="63"/>
      <c r="GU138" s="63"/>
      <c r="IR138" s="63"/>
      <c r="IS138" s="63"/>
      <c r="IT138" s="63"/>
      <c r="IU138" s="63"/>
      <c r="IV138" s="63"/>
      <c r="IW138" s="63"/>
      <c r="IX138" s="63"/>
      <c r="IY138" s="63"/>
      <c r="IZ138" s="63"/>
      <c r="JA138" s="63"/>
      <c r="JB138" s="63"/>
      <c r="JC138" s="63"/>
      <c r="JD138" s="63"/>
      <c r="JE138" s="63"/>
      <c r="JF138" s="63"/>
      <c r="JG138" s="63"/>
      <c r="JH138" s="63"/>
      <c r="JI138" s="63"/>
      <c r="JJ138" s="63"/>
      <c r="OF138" s="55"/>
      <c r="OG138" s="55"/>
      <c r="OH138" s="55"/>
      <c r="OI138" s="55"/>
      <c r="OJ138" s="55"/>
      <c r="OK138" s="55"/>
      <c r="OL138" s="55"/>
      <c r="OM138" s="55"/>
      <c r="ON138" s="55"/>
      <c r="OO138" s="55"/>
      <c r="OP138" s="55"/>
      <c r="OQ138" s="55"/>
      <c r="OR138" s="55"/>
      <c r="OS138" s="55"/>
      <c r="OT138" s="55"/>
      <c r="OU138" s="55"/>
      <c r="OV138" s="55"/>
      <c r="OW138" s="55"/>
      <c r="OX138" s="55"/>
      <c r="OY138" s="55"/>
      <c r="OZ138" s="55"/>
      <c r="PA138" s="55"/>
      <c r="PB138" s="55"/>
      <c r="PC138" s="55"/>
      <c r="PD138" s="55"/>
      <c r="PE138" s="55"/>
      <c r="PF138" s="55"/>
      <c r="PG138" s="55"/>
      <c r="PH138" s="55"/>
      <c r="PJ138" s="55"/>
      <c r="PK138" s="55"/>
      <c r="PL138" s="55"/>
      <c r="PM138" s="55"/>
      <c r="PN138" s="55"/>
      <c r="PO138" s="55"/>
      <c r="PP138" s="55"/>
      <c r="PQ138" s="55"/>
      <c r="PR138" s="55"/>
      <c r="PS138" s="55"/>
      <c r="PT138" s="55"/>
      <c r="PU138" s="55"/>
      <c r="PZ138" s="55"/>
      <c r="QA138" s="55"/>
      <c r="QB138" s="55"/>
      <c r="QC138" s="55"/>
    </row>
    <row r="139" spans="24:445" ht="15" customHeight="1">
      <c r="AJ139" s="63"/>
      <c r="CS139" s="426"/>
      <c r="CT139" s="426"/>
      <c r="CU139" s="426"/>
      <c r="CV139" s="426"/>
      <c r="CW139" s="426"/>
      <c r="DB139" s="426"/>
      <c r="DC139" s="426"/>
      <c r="DD139" s="426"/>
      <c r="DE139" s="426"/>
      <c r="DG139" s="55"/>
      <c r="DH139" s="55"/>
      <c r="DI139" s="55"/>
      <c r="DJ139" s="55"/>
      <c r="EE139" s="63"/>
      <c r="EF139" s="63"/>
      <c r="EG139" s="63"/>
      <c r="EH139" s="63"/>
      <c r="EL139" s="63"/>
      <c r="EM139" s="63"/>
      <c r="GO139" s="63"/>
      <c r="GP139" s="63"/>
      <c r="GQ139" s="63"/>
      <c r="GR139" s="63"/>
      <c r="GT139" s="63"/>
      <c r="GU139" s="63"/>
      <c r="IR139" s="63"/>
      <c r="IS139" s="63"/>
      <c r="IT139" s="63"/>
      <c r="IU139" s="63"/>
      <c r="IV139" s="63"/>
      <c r="IW139" s="63"/>
      <c r="IX139" s="63"/>
      <c r="IY139" s="63"/>
      <c r="IZ139" s="63"/>
      <c r="JA139" s="63"/>
      <c r="JB139" s="63"/>
      <c r="JC139" s="63"/>
      <c r="JD139" s="63"/>
      <c r="JE139" s="63"/>
      <c r="JF139" s="63"/>
      <c r="JG139" s="63"/>
      <c r="JH139" s="63"/>
      <c r="JI139" s="63"/>
      <c r="JJ139" s="63"/>
      <c r="OF139" s="55"/>
      <c r="OG139" s="55"/>
      <c r="OH139" s="55"/>
      <c r="OI139" s="55"/>
      <c r="OJ139" s="55"/>
      <c r="OK139" s="55"/>
      <c r="OL139" s="55"/>
      <c r="OM139" s="55"/>
      <c r="ON139" s="55"/>
      <c r="OO139" s="55"/>
      <c r="OP139" s="55"/>
      <c r="OQ139" s="55"/>
      <c r="OR139" s="55"/>
      <c r="OS139" s="55"/>
      <c r="OT139" s="55"/>
      <c r="OU139" s="55"/>
      <c r="OV139" s="55"/>
      <c r="OW139" s="55"/>
      <c r="OX139" s="55"/>
      <c r="OY139" s="55"/>
      <c r="OZ139" s="55"/>
      <c r="PA139" s="55"/>
      <c r="PB139" s="55"/>
      <c r="PC139" s="55"/>
      <c r="PD139" s="55"/>
      <c r="PE139" s="55"/>
      <c r="PF139" s="55"/>
      <c r="PG139" s="55"/>
      <c r="PH139" s="55"/>
      <c r="PJ139" s="55"/>
      <c r="PK139" s="55"/>
      <c r="PL139" s="55"/>
      <c r="PM139" s="55"/>
      <c r="PN139" s="55"/>
      <c r="PO139" s="55"/>
      <c r="PP139" s="55"/>
      <c r="PQ139" s="55"/>
      <c r="PR139" s="55"/>
      <c r="PS139" s="55"/>
      <c r="PT139" s="55"/>
      <c r="PU139" s="55"/>
      <c r="PZ139" s="55"/>
      <c r="QA139" s="55"/>
      <c r="QB139" s="55"/>
      <c r="QC139" s="55"/>
    </row>
    <row r="140" spans="24:445" ht="15" customHeight="1">
      <c r="AJ140" s="63"/>
      <c r="CS140" s="426"/>
      <c r="CT140" s="426"/>
      <c r="CU140" s="426"/>
      <c r="CV140" s="426"/>
      <c r="CW140" s="426"/>
      <c r="DB140" s="426"/>
      <c r="DC140" s="426"/>
      <c r="DD140" s="426"/>
      <c r="DE140" s="426"/>
      <c r="DG140" s="55"/>
      <c r="DH140" s="55"/>
      <c r="DI140" s="55"/>
      <c r="DJ140" s="55"/>
      <c r="EE140" s="63"/>
      <c r="EF140" s="63"/>
      <c r="EG140" s="63"/>
      <c r="EH140" s="63"/>
      <c r="EL140" s="63"/>
      <c r="EM140" s="63"/>
      <c r="GO140" s="63"/>
      <c r="GP140" s="63"/>
      <c r="GQ140" s="63"/>
      <c r="GR140" s="63"/>
      <c r="GT140" s="63"/>
      <c r="GU140" s="63"/>
      <c r="IR140" s="63"/>
      <c r="IS140" s="63"/>
      <c r="IT140" s="63"/>
      <c r="IU140" s="63"/>
      <c r="IV140" s="63"/>
      <c r="IW140" s="63"/>
      <c r="IX140" s="63"/>
      <c r="IY140" s="63"/>
      <c r="IZ140" s="63"/>
      <c r="JA140" s="63"/>
      <c r="JB140" s="63"/>
      <c r="JC140" s="63"/>
      <c r="JD140" s="63"/>
      <c r="JE140" s="63"/>
      <c r="JF140" s="63"/>
      <c r="JG140" s="63"/>
      <c r="JH140" s="63"/>
      <c r="JI140" s="63"/>
      <c r="JJ140" s="63"/>
      <c r="OF140" s="55"/>
      <c r="OG140" s="55"/>
      <c r="OH140" s="55"/>
      <c r="OI140" s="55"/>
      <c r="OJ140" s="55"/>
      <c r="OK140" s="55"/>
      <c r="OL140" s="55"/>
      <c r="OM140" s="55"/>
      <c r="ON140" s="55"/>
      <c r="OO140" s="55"/>
      <c r="OP140" s="55"/>
      <c r="OQ140" s="55"/>
      <c r="OR140" s="55"/>
      <c r="OS140" s="55"/>
      <c r="OT140" s="55"/>
      <c r="OU140" s="55"/>
      <c r="OV140" s="55"/>
      <c r="OW140" s="55"/>
      <c r="OX140" s="55"/>
      <c r="OY140" s="55"/>
      <c r="OZ140" s="55"/>
      <c r="PA140" s="55"/>
      <c r="PB140" s="55"/>
      <c r="PC140" s="55"/>
      <c r="PD140" s="55"/>
      <c r="PE140" s="55"/>
      <c r="PF140" s="55"/>
      <c r="PG140" s="55"/>
      <c r="PH140" s="55"/>
      <c r="PJ140" s="55"/>
      <c r="PK140" s="55"/>
      <c r="PL140" s="55"/>
      <c r="PM140" s="55"/>
      <c r="PN140" s="55"/>
      <c r="PO140" s="55"/>
      <c r="PP140" s="55"/>
      <c r="PQ140" s="55"/>
      <c r="PR140" s="55"/>
      <c r="PS140" s="55"/>
      <c r="PT140" s="55"/>
      <c r="PU140" s="55"/>
      <c r="PZ140" s="55"/>
      <c r="QA140" s="55"/>
      <c r="QB140" s="55"/>
      <c r="QC140" s="55"/>
    </row>
    <row r="141" spans="24:445" ht="15" customHeight="1">
      <c r="AJ141" s="63"/>
      <c r="CS141" s="426"/>
      <c r="CT141" s="426"/>
      <c r="CU141" s="426"/>
      <c r="CV141" s="426"/>
      <c r="CW141" s="426"/>
      <c r="DB141" s="426"/>
      <c r="DC141" s="426"/>
      <c r="DD141" s="426"/>
      <c r="DE141" s="426"/>
      <c r="DG141" s="55"/>
      <c r="DH141" s="55"/>
      <c r="DI141" s="55"/>
      <c r="DJ141" s="55"/>
      <c r="EE141" s="63"/>
      <c r="EF141" s="63"/>
      <c r="EG141" s="63"/>
      <c r="EH141" s="63"/>
      <c r="EL141" s="63"/>
      <c r="EM141" s="63"/>
      <c r="GO141" s="63"/>
      <c r="GP141" s="63"/>
      <c r="GQ141" s="63"/>
      <c r="GR141" s="63"/>
      <c r="GT141" s="63"/>
      <c r="GU141" s="63"/>
      <c r="IR141" s="63"/>
      <c r="IS141" s="63"/>
      <c r="IT141" s="63"/>
      <c r="IU141" s="63"/>
      <c r="IV141" s="63"/>
      <c r="IW141" s="63"/>
      <c r="IX141" s="63"/>
      <c r="IY141" s="63"/>
      <c r="IZ141" s="63"/>
      <c r="JA141" s="63"/>
      <c r="JB141" s="63"/>
      <c r="JC141" s="63"/>
      <c r="JD141" s="63"/>
      <c r="JE141" s="63"/>
      <c r="JF141" s="63"/>
      <c r="JG141" s="63"/>
      <c r="JH141" s="63"/>
      <c r="JI141" s="63"/>
      <c r="JJ141" s="63"/>
      <c r="OF141" s="55"/>
      <c r="OG141" s="55"/>
      <c r="OH141" s="55"/>
      <c r="OI141" s="55"/>
      <c r="OJ141" s="55"/>
      <c r="OK141" s="55"/>
      <c r="OL141" s="55"/>
      <c r="OM141" s="55"/>
      <c r="ON141" s="55"/>
      <c r="OO141" s="55"/>
      <c r="OP141" s="55"/>
      <c r="OQ141" s="55"/>
      <c r="OR141" s="55"/>
      <c r="OS141" s="55"/>
      <c r="OT141" s="55"/>
      <c r="OU141" s="55"/>
      <c r="OV141" s="55"/>
      <c r="OW141" s="55"/>
      <c r="OX141" s="55"/>
      <c r="OY141" s="55"/>
      <c r="OZ141" s="55"/>
      <c r="PA141" s="55"/>
      <c r="PB141" s="55"/>
      <c r="PC141" s="55"/>
      <c r="PD141" s="55"/>
      <c r="PE141" s="55"/>
      <c r="PF141" s="55"/>
      <c r="PG141" s="55"/>
      <c r="PH141" s="55"/>
      <c r="PJ141" s="55"/>
      <c r="PK141" s="55"/>
      <c r="PL141" s="55"/>
      <c r="PM141" s="55"/>
      <c r="PN141" s="55"/>
      <c r="PO141" s="55"/>
      <c r="PP141" s="55"/>
      <c r="PQ141" s="55"/>
      <c r="PR141" s="55"/>
      <c r="PS141" s="55"/>
      <c r="PT141" s="55"/>
      <c r="PU141" s="55"/>
      <c r="PZ141" s="55"/>
      <c r="QA141" s="55"/>
      <c r="QB141" s="55"/>
      <c r="QC141" s="55"/>
    </row>
    <row r="142" spans="24:445" ht="15" customHeight="1">
      <c r="AJ142" s="63"/>
      <c r="CS142" s="426"/>
      <c r="CT142" s="426"/>
      <c r="CU142" s="426"/>
      <c r="CV142" s="426"/>
      <c r="CW142" s="426"/>
      <c r="DB142" s="426"/>
      <c r="DC142" s="426"/>
      <c r="DD142" s="426"/>
      <c r="DE142" s="426"/>
      <c r="DG142" s="55"/>
      <c r="DH142" s="55"/>
      <c r="DI142" s="55"/>
      <c r="DJ142" s="55"/>
      <c r="EE142" s="63"/>
      <c r="EF142" s="63"/>
      <c r="EG142" s="63"/>
      <c r="EH142" s="63"/>
      <c r="EL142" s="63"/>
      <c r="EM142" s="63"/>
      <c r="GO142" s="63"/>
      <c r="GP142" s="63"/>
      <c r="GQ142" s="63"/>
      <c r="GR142" s="63"/>
      <c r="GT142" s="63"/>
      <c r="GU142" s="63"/>
      <c r="IR142" s="63"/>
      <c r="IS142" s="63"/>
      <c r="IT142" s="63"/>
      <c r="IU142" s="63"/>
      <c r="IV142" s="63"/>
      <c r="IW142" s="63"/>
      <c r="IX142" s="63"/>
      <c r="IY142" s="63"/>
      <c r="IZ142" s="63"/>
      <c r="JA142" s="63"/>
      <c r="JB142" s="63"/>
      <c r="JC142" s="63"/>
      <c r="JD142" s="63"/>
      <c r="JE142" s="63"/>
      <c r="JF142" s="63"/>
      <c r="JG142" s="63"/>
      <c r="JH142" s="63"/>
      <c r="JI142" s="63"/>
      <c r="JJ142" s="63"/>
      <c r="OF142" s="55"/>
      <c r="OG142" s="55"/>
      <c r="OH142" s="55"/>
      <c r="OI142" s="55"/>
      <c r="OJ142" s="55"/>
      <c r="OK142" s="55"/>
      <c r="OL142" s="55"/>
      <c r="OM142" s="55"/>
      <c r="ON142" s="55"/>
      <c r="OO142" s="55"/>
      <c r="OP142" s="55"/>
      <c r="OQ142" s="55"/>
      <c r="OR142" s="55"/>
      <c r="OS142" s="55"/>
      <c r="OT142" s="55"/>
      <c r="OU142" s="55"/>
      <c r="OV142" s="55"/>
      <c r="OW142" s="55"/>
      <c r="OX142" s="55"/>
      <c r="OY142" s="55"/>
      <c r="OZ142" s="55"/>
      <c r="PA142" s="55"/>
      <c r="PB142" s="55"/>
      <c r="PC142" s="55"/>
      <c r="PD142" s="55"/>
      <c r="PE142" s="55"/>
      <c r="PF142" s="55"/>
      <c r="PG142" s="55"/>
      <c r="PH142" s="55"/>
      <c r="PJ142" s="55"/>
      <c r="PK142" s="55"/>
      <c r="PL142" s="55"/>
      <c r="PM142" s="55"/>
      <c r="PN142" s="55"/>
      <c r="PO142" s="55"/>
      <c r="PP142" s="55"/>
      <c r="PQ142" s="55"/>
      <c r="PR142" s="55"/>
      <c r="PS142" s="55"/>
      <c r="PT142" s="55"/>
      <c r="PU142" s="55"/>
      <c r="PZ142" s="55"/>
      <c r="QA142" s="55"/>
      <c r="QB142" s="55"/>
      <c r="QC142" s="55"/>
    </row>
    <row r="143" spans="24:445" ht="15" customHeight="1">
      <c r="AJ143" s="63"/>
      <c r="CS143" s="426"/>
      <c r="CT143" s="426"/>
      <c r="CU143" s="426"/>
      <c r="CV143" s="426"/>
      <c r="CW143" s="426"/>
      <c r="DB143" s="426"/>
      <c r="DC143" s="426"/>
      <c r="DD143" s="426"/>
      <c r="DE143" s="426"/>
      <c r="DG143" s="55"/>
      <c r="DH143" s="55"/>
      <c r="DI143" s="55"/>
      <c r="DJ143" s="55"/>
      <c r="EE143" s="63"/>
      <c r="EF143" s="63"/>
      <c r="EG143" s="63"/>
      <c r="EH143" s="63"/>
      <c r="EL143" s="63"/>
      <c r="EM143" s="63"/>
      <c r="GO143" s="63"/>
      <c r="GP143" s="63"/>
      <c r="GQ143" s="63"/>
      <c r="GR143" s="63"/>
      <c r="GT143" s="63"/>
      <c r="GU143" s="63"/>
      <c r="IR143" s="63"/>
      <c r="IS143" s="63"/>
      <c r="IT143" s="63"/>
      <c r="IU143" s="63"/>
      <c r="IV143" s="63"/>
      <c r="IW143" s="63"/>
      <c r="IX143" s="63"/>
      <c r="IY143" s="63"/>
      <c r="IZ143" s="63"/>
      <c r="JA143" s="63"/>
      <c r="JB143" s="63"/>
      <c r="JC143" s="63"/>
      <c r="JD143" s="63"/>
      <c r="JE143" s="63"/>
      <c r="JF143" s="63"/>
      <c r="JG143" s="63"/>
      <c r="JH143" s="63"/>
      <c r="JI143" s="63"/>
      <c r="JJ143" s="63"/>
      <c r="OF143" s="55"/>
      <c r="OG143" s="55"/>
      <c r="OH143" s="55"/>
      <c r="OI143" s="55"/>
      <c r="OJ143" s="55"/>
      <c r="OK143" s="55"/>
      <c r="OL143" s="55"/>
      <c r="OM143" s="55"/>
      <c r="ON143" s="55"/>
      <c r="OO143" s="55"/>
      <c r="OP143" s="55"/>
      <c r="OQ143" s="55"/>
      <c r="OR143" s="55"/>
      <c r="OS143" s="55"/>
      <c r="OT143" s="55"/>
      <c r="OU143" s="55"/>
      <c r="OV143" s="55"/>
      <c r="OW143" s="55"/>
      <c r="OX143" s="55"/>
      <c r="OY143" s="55"/>
      <c r="OZ143" s="55"/>
      <c r="PA143" s="55"/>
      <c r="PB143" s="55"/>
      <c r="PC143" s="55"/>
      <c r="PD143" s="55"/>
      <c r="PE143" s="55"/>
      <c r="PF143" s="55"/>
      <c r="PG143" s="55"/>
      <c r="PH143" s="55"/>
      <c r="PJ143" s="55"/>
      <c r="PK143" s="55"/>
      <c r="PL143" s="55"/>
      <c r="PM143" s="55"/>
      <c r="PN143" s="55"/>
      <c r="PO143" s="55"/>
      <c r="PP143" s="55"/>
      <c r="PQ143" s="55"/>
      <c r="PR143" s="55"/>
      <c r="PS143" s="55"/>
      <c r="PT143" s="55"/>
      <c r="PU143" s="55"/>
      <c r="PZ143" s="55"/>
      <c r="QA143" s="55"/>
      <c r="QB143" s="55"/>
      <c r="QC143" s="55"/>
    </row>
    <row r="144" spans="24:445" ht="15" customHeight="1">
      <c r="CS144" s="426"/>
      <c r="CT144" s="426"/>
      <c r="CU144" s="426"/>
      <c r="CV144" s="426"/>
      <c r="CW144" s="426"/>
      <c r="DB144" s="426"/>
      <c r="DC144" s="426"/>
      <c r="DD144" s="426"/>
      <c r="DE144" s="426"/>
      <c r="DG144" s="55"/>
      <c r="DH144" s="55"/>
      <c r="DI144" s="55"/>
      <c r="DJ144" s="55"/>
      <c r="EE144" s="63"/>
      <c r="EF144" s="63"/>
      <c r="EG144" s="63"/>
      <c r="EH144" s="63"/>
      <c r="EL144" s="63"/>
      <c r="EM144" s="63"/>
      <c r="GO144" s="63"/>
      <c r="GP144" s="63"/>
      <c r="GQ144" s="63"/>
      <c r="GR144" s="63"/>
      <c r="GT144" s="63"/>
      <c r="GU144" s="63"/>
      <c r="IR144" s="63"/>
      <c r="IS144" s="63"/>
      <c r="IT144" s="63"/>
      <c r="IU144" s="63"/>
      <c r="IV144" s="63"/>
      <c r="IW144" s="63"/>
      <c r="IX144" s="63"/>
      <c r="IY144" s="63"/>
      <c r="IZ144" s="63"/>
      <c r="JA144" s="63"/>
      <c r="JB144" s="63"/>
      <c r="JC144" s="63"/>
      <c r="JD144" s="63"/>
      <c r="JE144" s="63"/>
      <c r="JF144" s="63"/>
      <c r="JG144" s="63"/>
      <c r="JH144" s="63"/>
      <c r="JI144" s="63"/>
      <c r="JJ144" s="63"/>
      <c r="OF144" s="55"/>
      <c r="OG144" s="55"/>
      <c r="OH144" s="55"/>
      <c r="OI144" s="55"/>
      <c r="OJ144" s="55"/>
      <c r="OK144" s="55"/>
      <c r="OL144" s="55"/>
      <c r="OM144" s="55"/>
      <c r="ON144" s="55"/>
      <c r="OO144" s="55"/>
      <c r="OP144" s="55"/>
      <c r="OQ144" s="55"/>
      <c r="OR144" s="55"/>
      <c r="OS144" s="55"/>
      <c r="OT144" s="55"/>
      <c r="OU144" s="55"/>
      <c r="OV144" s="55"/>
      <c r="OW144" s="55"/>
      <c r="OX144" s="55"/>
      <c r="OY144" s="55"/>
      <c r="OZ144" s="55"/>
      <c r="PA144" s="55"/>
      <c r="PB144" s="55"/>
      <c r="PC144" s="55"/>
      <c r="PD144" s="55"/>
      <c r="PE144" s="55"/>
      <c r="PF144" s="55"/>
      <c r="PG144" s="55"/>
      <c r="PH144" s="55"/>
      <c r="PJ144" s="55"/>
      <c r="PK144" s="55"/>
      <c r="PL144" s="55"/>
      <c r="PM144" s="55"/>
      <c r="PN144" s="55"/>
      <c r="PO144" s="55"/>
      <c r="PP144" s="55"/>
      <c r="PQ144" s="55"/>
      <c r="PR144" s="55"/>
      <c r="PS144" s="55"/>
      <c r="PT144" s="55"/>
      <c r="PU144" s="55"/>
      <c r="PZ144" s="55"/>
      <c r="QA144" s="55"/>
      <c r="QB144" s="55"/>
      <c r="QC144" s="55"/>
    </row>
    <row r="145" spans="97:445" ht="15" customHeight="1">
      <c r="CS145" s="426"/>
      <c r="CT145" s="426"/>
      <c r="CU145" s="426"/>
      <c r="CV145" s="426"/>
      <c r="CW145" s="426"/>
      <c r="DB145" s="426"/>
      <c r="DC145" s="426"/>
      <c r="DD145" s="426"/>
      <c r="DE145" s="426"/>
      <c r="DG145" s="55"/>
      <c r="DH145" s="55"/>
      <c r="DI145" s="55"/>
      <c r="DJ145" s="55"/>
      <c r="EE145" s="63"/>
      <c r="EF145" s="63"/>
      <c r="EG145" s="63"/>
      <c r="EH145" s="63"/>
      <c r="EL145" s="63"/>
      <c r="EM145" s="63"/>
      <c r="GO145" s="63"/>
      <c r="GP145" s="63"/>
      <c r="GQ145" s="63"/>
      <c r="GR145" s="63"/>
      <c r="GT145" s="63"/>
      <c r="GU145" s="63"/>
      <c r="IR145" s="63"/>
      <c r="IS145" s="63"/>
      <c r="IT145" s="63"/>
      <c r="IU145" s="63"/>
      <c r="IV145" s="63"/>
      <c r="IW145" s="63"/>
      <c r="IX145" s="63"/>
      <c r="IY145" s="63"/>
      <c r="IZ145" s="63"/>
      <c r="JA145" s="63"/>
      <c r="JB145" s="63"/>
      <c r="JC145" s="63"/>
      <c r="JD145" s="63"/>
      <c r="JE145" s="63"/>
      <c r="JF145" s="63"/>
      <c r="JG145" s="63"/>
      <c r="JH145" s="63"/>
      <c r="JI145" s="63"/>
      <c r="JJ145" s="63"/>
      <c r="OF145" s="55"/>
      <c r="OG145" s="55"/>
      <c r="OH145" s="55"/>
      <c r="OI145" s="55"/>
      <c r="OJ145" s="55"/>
      <c r="OK145" s="55"/>
      <c r="OL145" s="55"/>
      <c r="OM145" s="55"/>
      <c r="ON145" s="55"/>
      <c r="OO145" s="55"/>
      <c r="OP145" s="55"/>
      <c r="OQ145" s="55"/>
      <c r="OR145" s="55"/>
      <c r="OS145" s="55"/>
      <c r="OT145" s="55"/>
      <c r="OU145" s="55"/>
      <c r="OV145" s="55"/>
      <c r="OW145" s="55"/>
      <c r="OX145" s="55"/>
      <c r="OY145" s="55"/>
      <c r="OZ145" s="55"/>
      <c r="PA145" s="55"/>
      <c r="PB145" s="55"/>
      <c r="PC145" s="55"/>
      <c r="PD145" s="55"/>
      <c r="PE145" s="55"/>
      <c r="PF145" s="55"/>
      <c r="PG145" s="55"/>
      <c r="PH145" s="55"/>
      <c r="PJ145" s="55"/>
      <c r="PK145" s="55"/>
      <c r="PL145" s="55"/>
      <c r="PM145" s="55"/>
      <c r="PN145" s="55"/>
      <c r="PO145" s="55"/>
      <c r="PP145" s="55"/>
      <c r="PQ145" s="55"/>
      <c r="PR145" s="55"/>
      <c r="PS145" s="55"/>
      <c r="PT145" s="55"/>
      <c r="PU145" s="55"/>
      <c r="PZ145" s="55"/>
      <c r="QA145" s="55"/>
      <c r="QB145" s="55"/>
      <c r="QC145" s="55"/>
    </row>
    <row r="146" spans="97:445">
      <c r="CS146" s="426"/>
      <c r="CT146" s="426"/>
      <c r="CU146" s="426"/>
      <c r="CV146" s="426"/>
      <c r="CW146" s="426"/>
      <c r="DB146" s="426"/>
      <c r="DC146" s="426"/>
      <c r="DD146" s="426"/>
      <c r="DE146" s="426"/>
      <c r="DG146" s="55"/>
      <c r="DH146" s="55"/>
      <c r="DI146" s="55"/>
      <c r="DJ146" s="55"/>
      <c r="EE146" s="63"/>
      <c r="EF146" s="63"/>
      <c r="EG146" s="63"/>
      <c r="EH146" s="63"/>
      <c r="EL146" s="63"/>
      <c r="EM146" s="63"/>
      <c r="GO146" s="63"/>
      <c r="GP146" s="63"/>
      <c r="GQ146" s="63"/>
      <c r="GR146" s="63"/>
      <c r="GT146" s="63"/>
      <c r="GU146" s="63"/>
      <c r="IR146" s="63"/>
      <c r="IS146" s="63"/>
      <c r="IT146" s="63"/>
      <c r="IU146" s="63"/>
      <c r="IV146" s="63"/>
      <c r="IW146" s="63"/>
      <c r="IX146" s="63"/>
      <c r="IY146" s="63"/>
      <c r="IZ146" s="63"/>
      <c r="JA146" s="63"/>
      <c r="JB146" s="63"/>
      <c r="JC146" s="63"/>
      <c r="JD146" s="63"/>
      <c r="JE146" s="63"/>
      <c r="JF146" s="63"/>
      <c r="JG146" s="63"/>
      <c r="JH146" s="63"/>
      <c r="JI146" s="63"/>
      <c r="JJ146" s="63"/>
      <c r="OF146" s="55"/>
      <c r="OG146" s="55"/>
      <c r="OH146" s="55"/>
      <c r="OI146" s="55"/>
      <c r="OJ146" s="55"/>
      <c r="OK146" s="55"/>
      <c r="OL146" s="55"/>
      <c r="OM146" s="55"/>
      <c r="ON146" s="55"/>
      <c r="OO146" s="55"/>
      <c r="OP146" s="55"/>
      <c r="OQ146" s="55"/>
      <c r="OR146" s="55"/>
      <c r="OS146" s="55"/>
      <c r="OT146" s="55"/>
      <c r="OU146" s="55"/>
      <c r="OV146" s="55"/>
      <c r="OW146" s="55"/>
      <c r="OX146" s="55"/>
      <c r="OY146" s="55"/>
      <c r="OZ146" s="55"/>
      <c r="PA146" s="55"/>
      <c r="PB146" s="55"/>
      <c r="PC146" s="55"/>
      <c r="PD146" s="55"/>
      <c r="PE146" s="55"/>
      <c r="PF146" s="55"/>
      <c r="PG146" s="55"/>
      <c r="PH146" s="55"/>
      <c r="PJ146" s="55"/>
      <c r="PK146" s="55"/>
      <c r="PL146" s="55"/>
      <c r="PM146" s="55"/>
      <c r="PN146" s="55"/>
      <c r="PO146" s="55"/>
      <c r="PP146" s="55"/>
      <c r="PQ146" s="55"/>
      <c r="PR146" s="55"/>
      <c r="PS146" s="55"/>
      <c r="PT146" s="55"/>
      <c r="PU146" s="55"/>
      <c r="PZ146" s="55"/>
      <c r="QA146" s="55"/>
      <c r="QB146" s="55"/>
      <c r="QC146" s="55"/>
    </row>
    <row r="147" spans="97:445" ht="15" customHeight="1">
      <c r="CS147" s="426"/>
      <c r="CT147" s="426"/>
      <c r="CU147" s="426"/>
      <c r="CV147" s="426"/>
      <c r="CW147" s="426"/>
      <c r="DB147" s="426"/>
      <c r="DC147" s="426"/>
      <c r="DD147" s="426"/>
      <c r="DE147" s="426"/>
      <c r="DG147" s="55"/>
      <c r="DH147" s="55"/>
      <c r="DI147" s="55"/>
      <c r="DJ147" s="55"/>
      <c r="EE147" s="63"/>
      <c r="EF147" s="63"/>
      <c r="EG147" s="63"/>
      <c r="EH147" s="63"/>
      <c r="EL147" s="63"/>
      <c r="EM147" s="63"/>
      <c r="GO147" s="63"/>
      <c r="GP147" s="63"/>
      <c r="GQ147" s="63"/>
      <c r="GR147" s="63"/>
      <c r="GT147" s="63"/>
      <c r="GU147" s="63"/>
      <c r="IR147" s="63"/>
      <c r="IS147" s="63"/>
      <c r="IT147" s="63"/>
      <c r="IU147" s="63"/>
      <c r="IV147" s="63"/>
      <c r="IW147" s="63"/>
      <c r="IX147" s="63"/>
      <c r="IY147" s="63"/>
      <c r="IZ147" s="63"/>
      <c r="JA147" s="63"/>
      <c r="JB147" s="63"/>
      <c r="JC147" s="63"/>
      <c r="JD147" s="63"/>
      <c r="JE147" s="63"/>
      <c r="JF147" s="63"/>
      <c r="JG147" s="63"/>
      <c r="JH147" s="63"/>
      <c r="JI147" s="63"/>
      <c r="JJ147" s="63"/>
      <c r="OF147" s="55"/>
      <c r="OG147" s="55"/>
      <c r="OH147" s="55"/>
      <c r="OI147" s="55"/>
      <c r="OJ147" s="55"/>
      <c r="OK147" s="55"/>
      <c r="OL147" s="55"/>
      <c r="OM147" s="55"/>
      <c r="ON147" s="55"/>
      <c r="OO147" s="55"/>
      <c r="OP147" s="55"/>
      <c r="OQ147" s="55"/>
      <c r="OR147" s="55"/>
      <c r="OS147" s="55"/>
      <c r="OT147" s="55"/>
      <c r="OU147" s="55"/>
      <c r="OV147" s="55"/>
      <c r="OW147" s="55"/>
      <c r="OX147" s="55"/>
      <c r="OY147" s="55"/>
      <c r="OZ147" s="55"/>
      <c r="PA147" s="55"/>
      <c r="PB147" s="55"/>
      <c r="PC147" s="55"/>
      <c r="PD147" s="55"/>
      <c r="PE147" s="55"/>
      <c r="PF147" s="55"/>
      <c r="PG147" s="55"/>
      <c r="PH147" s="55"/>
      <c r="PJ147" s="55"/>
      <c r="PK147" s="55"/>
      <c r="PL147" s="55"/>
      <c r="PM147" s="55"/>
      <c r="PN147" s="55"/>
      <c r="PO147" s="55"/>
      <c r="PP147" s="55"/>
      <c r="PQ147" s="55"/>
      <c r="PR147" s="55"/>
      <c r="PS147" s="55"/>
      <c r="PT147" s="55"/>
      <c r="PU147" s="55"/>
      <c r="PZ147" s="55"/>
      <c r="QA147" s="55"/>
      <c r="QB147" s="55"/>
      <c r="QC147" s="55"/>
    </row>
    <row r="148" spans="97:445" ht="15" customHeight="1">
      <c r="CS148" s="426"/>
      <c r="CT148" s="426"/>
      <c r="CU148" s="426"/>
      <c r="CV148" s="426"/>
      <c r="CW148" s="426"/>
      <c r="DB148" s="426"/>
      <c r="DC148" s="426"/>
      <c r="DD148" s="426"/>
      <c r="DE148" s="426"/>
      <c r="DG148" s="55"/>
      <c r="DH148" s="55"/>
      <c r="DI148" s="55"/>
      <c r="DJ148" s="55"/>
      <c r="EE148" s="63"/>
      <c r="EF148" s="63"/>
      <c r="EG148" s="63"/>
      <c r="EH148" s="63"/>
      <c r="EL148" s="63"/>
      <c r="EM148" s="63"/>
      <c r="GO148" s="63"/>
      <c r="GP148" s="63"/>
      <c r="GQ148" s="63"/>
      <c r="GR148" s="63"/>
      <c r="GT148" s="63"/>
      <c r="GU148" s="63"/>
      <c r="IR148" s="63"/>
      <c r="IS148" s="63"/>
      <c r="IT148" s="63"/>
      <c r="IU148" s="63"/>
      <c r="IV148" s="63"/>
      <c r="IW148" s="63"/>
      <c r="IX148" s="63"/>
      <c r="IY148" s="63"/>
      <c r="IZ148" s="63"/>
      <c r="JA148" s="63"/>
      <c r="JB148" s="63"/>
      <c r="JC148" s="63"/>
      <c r="JD148" s="63"/>
      <c r="JE148" s="63"/>
      <c r="JF148" s="63"/>
      <c r="JG148" s="63"/>
      <c r="JH148" s="63"/>
      <c r="JI148" s="63"/>
      <c r="JJ148" s="63"/>
      <c r="OF148" s="55"/>
      <c r="OG148" s="55"/>
      <c r="OH148" s="55"/>
      <c r="OI148" s="55"/>
      <c r="OJ148" s="55"/>
      <c r="OK148" s="55"/>
      <c r="OL148" s="55"/>
      <c r="OM148" s="55"/>
      <c r="ON148" s="55"/>
      <c r="OO148" s="55"/>
      <c r="OP148" s="55"/>
      <c r="OQ148" s="55"/>
      <c r="OR148" s="55"/>
      <c r="OS148" s="55"/>
      <c r="OT148" s="55"/>
      <c r="OU148" s="55"/>
      <c r="OV148" s="55"/>
      <c r="OW148" s="55"/>
      <c r="OX148" s="55"/>
      <c r="OY148" s="55"/>
      <c r="OZ148" s="55"/>
      <c r="PA148" s="55"/>
      <c r="PB148" s="55"/>
      <c r="PC148" s="55"/>
      <c r="PD148" s="55"/>
      <c r="PE148" s="55"/>
      <c r="PF148" s="55"/>
      <c r="PG148" s="55"/>
      <c r="PH148" s="55"/>
      <c r="PJ148" s="55"/>
      <c r="PK148" s="55"/>
      <c r="PL148" s="55"/>
      <c r="PM148" s="55"/>
      <c r="PN148" s="55"/>
      <c r="PO148" s="55"/>
      <c r="PP148" s="55"/>
      <c r="PQ148" s="55"/>
      <c r="PR148" s="55"/>
      <c r="PS148" s="55"/>
      <c r="PT148" s="55"/>
      <c r="PU148" s="55"/>
      <c r="PZ148" s="55"/>
      <c r="QA148" s="55"/>
      <c r="QB148" s="55"/>
      <c r="QC148" s="55"/>
    </row>
    <row r="149" spans="97:445" ht="15" customHeight="1">
      <c r="CS149" s="426"/>
      <c r="CT149" s="426"/>
      <c r="CU149" s="426"/>
      <c r="CV149" s="426"/>
      <c r="CW149" s="426"/>
      <c r="DB149" s="426"/>
      <c r="DC149" s="426"/>
      <c r="DD149" s="426"/>
      <c r="DE149" s="426"/>
      <c r="DG149" s="55"/>
      <c r="DH149" s="55"/>
      <c r="DI149" s="55"/>
      <c r="DJ149" s="55"/>
      <c r="DK149" s="55"/>
      <c r="DL149" s="55"/>
      <c r="DM149" s="55"/>
      <c r="EE149" s="63"/>
      <c r="EF149" s="63"/>
      <c r="EG149" s="63"/>
      <c r="EH149" s="63"/>
      <c r="EL149" s="63"/>
      <c r="EM149" s="63"/>
      <c r="GO149" s="63"/>
      <c r="GP149" s="63"/>
      <c r="GQ149" s="63"/>
      <c r="GR149" s="63"/>
      <c r="GT149" s="63"/>
      <c r="GU149" s="63"/>
      <c r="IR149" s="63"/>
      <c r="IS149" s="63"/>
      <c r="IT149" s="63"/>
      <c r="IU149" s="63"/>
      <c r="IV149" s="63"/>
      <c r="IW149" s="63"/>
      <c r="IX149" s="63"/>
      <c r="IY149" s="63"/>
      <c r="IZ149" s="63"/>
      <c r="JA149" s="63"/>
      <c r="JB149" s="63"/>
      <c r="JC149" s="63"/>
      <c r="JD149" s="63"/>
      <c r="JE149" s="63"/>
      <c r="JF149" s="63"/>
      <c r="JG149" s="63"/>
      <c r="JH149" s="63"/>
      <c r="JI149" s="63"/>
      <c r="JJ149" s="63"/>
      <c r="OF149" s="55"/>
      <c r="OG149" s="55"/>
      <c r="OH149" s="55"/>
      <c r="OI149" s="55"/>
      <c r="OJ149" s="55"/>
      <c r="OK149" s="55"/>
      <c r="OL149" s="55"/>
      <c r="OM149" s="55"/>
      <c r="ON149" s="55"/>
      <c r="OO149" s="55"/>
      <c r="OP149" s="55"/>
      <c r="OQ149" s="55"/>
      <c r="OR149" s="55"/>
      <c r="OS149" s="55"/>
      <c r="OT149" s="55"/>
      <c r="OU149" s="55"/>
      <c r="OV149" s="55"/>
      <c r="OW149" s="55"/>
      <c r="OX149" s="55"/>
      <c r="OY149" s="55"/>
      <c r="OZ149" s="55"/>
      <c r="PA149" s="55"/>
      <c r="PB149" s="55"/>
      <c r="PC149" s="55"/>
      <c r="PD149" s="55"/>
      <c r="PE149" s="55"/>
      <c r="PF149" s="55"/>
      <c r="PG149" s="55"/>
      <c r="PH149" s="55"/>
      <c r="PJ149" s="55"/>
      <c r="PK149" s="55"/>
      <c r="PL149" s="55"/>
      <c r="PM149" s="55"/>
      <c r="PN149" s="55"/>
      <c r="PO149" s="55"/>
      <c r="PP149" s="55"/>
      <c r="PQ149" s="55"/>
      <c r="PR149" s="55"/>
      <c r="PS149" s="55"/>
      <c r="PT149" s="55"/>
      <c r="PU149" s="55"/>
      <c r="PZ149" s="55"/>
      <c r="QA149" s="55"/>
      <c r="QB149" s="55"/>
      <c r="QC149" s="55"/>
    </row>
    <row r="150" spans="97:445" ht="15" customHeight="1">
      <c r="CS150" s="426"/>
      <c r="CT150" s="426"/>
      <c r="CU150" s="426"/>
      <c r="CV150" s="426"/>
      <c r="CW150" s="426"/>
      <c r="DB150" s="426"/>
      <c r="DC150" s="426"/>
      <c r="DD150" s="426"/>
      <c r="DE150" s="426"/>
      <c r="DG150" s="55"/>
      <c r="DH150" s="55"/>
      <c r="DI150" s="55"/>
      <c r="DJ150" s="55"/>
      <c r="DK150" s="55"/>
      <c r="DL150" s="55"/>
      <c r="DM150" s="55"/>
      <c r="EE150" s="63"/>
      <c r="EF150" s="63"/>
      <c r="EG150" s="63"/>
      <c r="EH150" s="63"/>
      <c r="EL150" s="63"/>
      <c r="EM150" s="63"/>
      <c r="GO150" s="63"/>
      <c r="GP150" s="63"/>
      <c r="GQ150" s="63"/>
      <c r="GR150" s="63"/>
      <c r="GT150" s="63"/>
      <c r="GU150" s="63"/>
      <c r="IR150" s="63"/>
      <c r="IS150" s="63"/>
      <c r="IT150" s="63"/>
      <c r="IU150" s="63"/>
      <c r="IV150" s="63"/>
      <c r="IW150" s="63"/>
      <c r="IX150" s="63"/>
      <c r="IY150" s="63"/>
      <c r="IZ150" s="63"/>
      <c r="JA150" s="63"/>
      <c r="JB150" s="63"/>
      <c r="JC150" s="63"/>
      <c r="JD150" s="63"/>
      <c r="JE150" s="63"/>
      <c r="JF150" s="63"/>
      <c r="JG150" s="63"/>
      <c r="JH150" s="63"/>
      <c r="JI150" s="63"/>
      <c r="JJ150" s="63"/>
      <c r="OF150" s="55"/>
      <c r="OG150" s="55"/>
      <c r="OH150" s="55"/>
      <c r="OI150" s="55"/>
      <c r="OJ150" s="55"/>
      <c r="OK150" s="55"/>
      <c r="OL150" s="55"/>
      <c r="OM150" s="55"/>
      <c r="ON150" s="55"/>
      <c r="OO150" s="55"/>
      <c r="OP150" s="55"/>
      <c r="OQ150" s="55"/>
      <c r="OR150" s="55"/>
      <c r="OS150" s="55"/>
      <c r="OT150" s="55"/>
      <c r="OU150" s="55"/>
      <c r="OV150" s="55"/>
      <c r="OW150" s="55"/>
      <c r="OX150" s="55"/>
      <c r="OY150" s="55"/>
      <c r="OZ150" s="55"/>
      <c r="PA150" s="55"/>
      <c r="PB150" s="55"/>
      <c r="PC150" s="55"/>
      <c r="PD150" s="55"/>
      <c r="PE150" s="55"/>
      <c r="PF150" s="55"/>
      <c r="PG150" s="55"/>
      <c r="PH150" s="55"/>
      <c r="PJ150" s="55"/>
      <c r="PK150" s="55"/>
      <c r="PL150" s="55"/>
      <c r="PM150" s="55"/>
      <c r="PN150" s="55"/>
      <c r="PO150" s="55"/>
      <c r="PP150" s="55"/>
      <c r="PQ150" s="55"/>
      <c r="PR150" s="55"/>
      <c r="PS150" s="55"/>
      <c r="PT150" s="55"/>
      <c r="PU150" s="55"/>
      <c r="PZ150" s="55"/>
      <c r="QA150" s="55"/>
      <c r="QB150" s="55"/>
      <c r="QC150" s="55"/>
    </row>
    <row r="151" spans="97:445" ht="15" customHeight="1">
      <c r="CS151" s="426"/>
      <c r="CT151" s="426"/>
      <c r="CU151" s="426"/>
      <c r="CV151" s="426"/>
      <c r="CW151" s="426"/>
      <c r="DB151" s="426"/>
      <c r="DC151" s="426"/>
      <c r="DD151" s="426"/>
      <c r="DE151" s="426"/>
      <c r="DG151" s="55"/>
      <c r="DH151" s="55"/>
      <c r="DI151" s="55"/>
      <c r="DJ151" s="55"/>
      <c r="DK151" s="55"/>
      <c r="DL151" s="55"/>
      <c r="DM151" s="55"/>
      <c r="EE151" s="63"/>
      <c r="EF151" s="63"/>
      <c r="EG151" s="63"/>
      <c r="EH151" s="63"/>
      <c r="EL151" s="63"/>
      <c r="EM151" s="63"/>
      <c r="GO151" s="63"/>
      <c r="GP151" s="63"/>
      <c r="GQ151" s="63"/>
      <c r="GR151" s="63"/>
      <c r="GT151" s="63"/>
      <c r="GU151" s="63"/>
      <c r="IR151" s="63"/>
      <c r="IS151" s="63"/>
      <c r="IT151" s="63"/>
      <c r="IU151" s="63"/>
      <c r="IV151" s="63"/>
      <c r="IW151" s="63"/>
      <c r="IX151" s="63"/>
      <c r="IY151" s="63"/>
      <c r="IZ151" s="63"/>
      <c r="JA151" s="63"/>
      <c r="JB151" s="63"/>
      <c r="JC151" s="63"/>
      <c r="JD151" s="63"/>
      <c r="JE151" s="63"/>
      <c r="JF151" s="63"/>
      <c r="JG151" s="63"/>
      <c r="JH151" s="63"/>
      <c r="JI151" s="63"/>
      <c r="JJ151" s="63"/>
      <c r="OF151" s="55"/>
      <c r="OG151" s="55"/>
      <c r="OH151" s="55"/>
      <c r="OI151" s="55"/>
      <c r="OJ151" s="55"/>
      <c r="OK151" s="55"/>
      <c r="OL151" s="55"/>
      <c r="OM151" s="55"/>
      <c r="ON151" s="55"/>
      <c r="OO151" s="55"/>
      <c r="OP151" s="55"/>
      <c r="OQ151" s="55"/>
      <c r="OR151" s="55"/>
      <c r="OS151" s="55"/>
      <c r="OT151" s="55"/>
      <c r="OU151" s="55"/>
      <c r="OV151" s="55"/>
      <c r="OW151" s="55"/>
      <c r="OX151" s="55"/>
      <c r="OY151" s="55"/>
      <c r="OZ151" s="55"/>
      <c r="PA151" s="55"/>
      <c r="PB151" s="55"/>
      <c r="PC151" s="55"/>
      <c r="PD151" s="55"/>
      <c r="PE151" s="55"/>
      <c r="PF151" s="55"/>
      <c r="PG151" s="55"/>
      <c r="PH151" s="55"/>
      <c r="PJ151" s="55"/>
      <c r="PK151" s="55"/>
      <c r="PL151" s="55"/>
      <c r="PM151" s="55"/>
      <c r="PN151" s="55"/>
      <c r="PO151" s="55"/>
      <c r="PP151" s="55"/>
      <c r="PQ151" s="55"/>
      <c r="PR151" s="55"/>
      <c r="PS151" s="55"/>
      <c r="PT151" s="55"/>
      <c r="PU151" s="55"/>
      <c r="PZ151" s="55"/>
      <c r="QA151" s="55"/>
      <c r="QB151" s="55"/>
      <c r="QC151" s="55"/>
    </row>
    <row r="152" spans="97:445" ht="15" customHeight="1">
      <c r="CS152" s="426"/>
      <c r="CT152" s="426"/>
      <c r="CU152" s="426"/>
      <c r="CV152" s="426"/>
      <c r="CW152" s="426"/>
      <c r="DB152" s="426"/>
      <c r="DC152" s="426"/>
      <c r="DD152" s="426"/>
      <c r="DE152" s="426"/>
      <c r="DG152" s="55"/>
      <c r="DH152" s="55"/>
      <c r="DI152" s="55"/>
      <c r="DJ152" s="55"/>
      <c r="DK152" s="55"/>
      <c r="DL152" s="55"/>
      <c r="DM152" s="55"/>
      <c r="EE152" s="63"/>
      <c r="GO152" s="63"/>
      <c r="GP152" s="63"/>
      <c r="GQ152" s="63"/>
      <c r="GR152" s="63"/>
      <c r="GT152" s="63"/>
      <c r="GU152" s="63"/>
      <c r="IR152" s="63"/>
      <c r="IS152" s="63"/>
      <c r="IT152" s="63"/>
      <c r="IU152" s="63"/>
      <c r="IV152" s="63"/>
      <c r="IW152" s="63"/>
      <c r="IX152" s="63"/>
      <c r="IY152" s="63"/>
      <c r="IZ152" s="63"/>
      <c r="JA152" s="63"/>
      <c r="JB152" s="63"/>
      <c r="JC152" s="63"/>
      <c r="JD152" s="63"/>
      <c r="JE152" s="63"/>
      <c r="JF152" s="63"/>
      <c r="JG152" s="63"/>
      <c r="JH152" s="63"/>
      <c r="JI152" s="63"/>
      <c r="JJ152" s="63"/>
      <c r="OF152" s="55"/>
      <c r="OG152" s="55"/>
      <c r="OH152" s="55"/>
      <c r="OI152" s="55"/>
      <c r="OJ152" s="55"/>
      <c r="OK152" s="55"/>
      <c r="OL152" s="55"/>
      <c r="OM152" s="55"/>
      <c r="ON152" s="55"/>
      <c r="OO152" s="55"/>
      <c r="OP152" s="55"/>
      <c r="OQ152" s="55"/>
      <c r="OR152" s="55"/>
      <c r="OS152" s="55"/>
      <c r="OT152" s="55"/>
      <c r="OU152" s="55"/>
      <c r="OV152" s="55"/>
      <c r="OW152" s="55"/>
      <c r="OX152" s="55"/>
      <c r="OY152" s="55"/>
      <c r="OZ152" s="55"/>
      <c r="PA152" s="55"/>
      <c r="PB152" s="55"/>
      <c r="PC152" s="55"/>
      <c r="PD152" s="55"/>
      <c r="PE152" s="55"/>
      <c r="PF152" s="55"/>
      <c r="PG152" s="55"/>
      <c r="PH152" s="55"/>
      <c r="PJ152" s="55"/>
      <c r="PK152" s="55"/>
      <c r="PL152" s="55"/>
      <c r="PM152" s="55"/>
      <c r="PN152" s="55"/>
      <c r="PO152" s="55"/>
      <c r="PP152" s="55"/>
      <c r="PQ152" s="55"/>
      <c r="PR152" s="55"/>
      <c r="PS152" s="55"/>
      <c r="PT152" s="55"/>
      <c r="PU152" s="55"/>
      <c r="PZ152" s="55"/>
      <c r="QA152" s="55"/>
      <c r="QB152" s="55"/>
      <c r="QC152" s="55"/>
    </row>
    <row r="153" spans="97:445" ht="15" customHeight="1">
      <c r="CS153" s="426"/>
      <c r="CT153" s="426"/>
      <c r="CU153" s="426"/>
      <c r="CV153" s="426"/>
      <c r="CW153" s="426"/>
      <c r="DB153" s="426"/>
      <c r="DC153" s="426"/>
      <c r="DD153" s="426"/>
      <c r="DE153" s="426"/>
      <c r="DG153" s="55"/>
      <c r="DH153" s="55"/>
      <c r="DI153" s="55"/>
      <c r="DJ153" s="55"/>
      <c r="DK153" s="55"/>
      <c r="DL153" s="55"/>
      <c r="DM153" s="55"/>
      <c r="EE153" s="63"/>
      <c r="GO153" s="63"/>
      <c r="GP153" s="63"/>
      <c r="GQ153" s="63"/>
      <c r="GR153" s="63"/>
      <c r="GT153" s="63"/>
      <c r="GU153" s="63"/>
      <c r="IR153" s="63"/>
      <c r="IS153" s="63"/>
      <c r="IT153" s="63"/>
      <c r="IU153" s="63"/>
      <c r="IV153" s="63"/>
      <c r="IW153" s="63"/>
      <c r="IX153" s="63"/>
      <c r="IY153" s="63"/>
      <c r="IZ153" s="63"/>
      <c r="JA153" s="63"/>
      <c r="JB153" s="63"/>
      <c r="JC153" s="63"/>
      <c r="JD153" s="63"/>
      <c r="JE153" s="63"/>
      <c r="JF153" s="63"/>
      <c r="JG153" s="63"/>
      <c r="JH153" s="63"/>
      <c r="JI153" s="63"/>
      <c r="JJ153" s="63"/>
      <c r="OF153" s="55"/>
      <c r="OG153" s="55"/>
      <c r="OH153" s="55"/>
      <c r="OI153" s="55"/>
      <c r="OJ153" s="55"/>
      <c r="OK153" s="55"/>
      <c r="OL153" s="55"/>
      <c r="OM153" s="55"/>
      <c r="ON153" s="55"/>
      <c r="OO153" s="55"/>
      <c r="OP153" s="55"/>
      <c r="OQ153" s="55"/>
      <c r="OR153" s="55"/>
      <c r="OS153" s="55"/>
      <c r="OT153" s="55"/>
      <c r="OU153" s="55"/>
      <c r="OV153" s="55"/>
      <c r="OW153" s="55"/>
      <c r="OX153" s="55"/>
      <c r="OY153" s="55"/>
      <c r="OZ153" s="55"/>
      <c r="PA153" s="55"/>
      <c r="PB153" s="55"/>
      <c r="PC153" s="55"/>
      <c r="PD153" s="55"/>
      <c r="PE153" s="55"/>
      <c r="PF153" s="55"/>
      <c r="PG153" s="55"/>
      <c r="PH153" s="55"/>
      <c r="PJ153" s="55"/>
      <c r="PK153" s="55"/>
      <c r="PL153" s="55"/>
      <c r="PM153" s="55"/>
      <c r="PN153" s="55"/>
      <c r="PO153" s="55"/>
      <c r="PP153" s="55"/>
      <c r="PQ153" s="55"/>
      <c r="PR153" s="55"/>
      <c r="PS153" s="55"/>
      <c r="PT153" s="55"/>
      <c r="PU153" s="55"/>
      <c r="PZ153" s="55"/>
      <c r="QA153" s="55"/>
      <c r="QB153" s="55"/>
      <c r="QC153" s="55"/>
    </row>
    <row r="154" spans="97:445" ht="15" customHeight="1">
      <c r="CS154" s="426"/>
      <c r="CT154" s="426"/>
      <c r="CU154" s="426"/>
      <c r="CV154" s="426"/>
      <c r="CW154" s="426"/>
      <c r="DB154" s="426"/>
      <c r="DC154" s="426"/>
      <c r="DD154" s="426"/>
      <c r="DE154" s="426"/>
      <c r="DG154" s="55"/>
      <c r="DH154" s="55"/>
      <c r="DI154" s="55"/>
      <c r="DJ154" s="55"/>
      <c r="DK154" s="55"/>
      <c r="DL154" s="55"/>
      <c r="DM154" s="55"/>
      <c r="EE154" s="63"/>
      <c r="GO154" s="63"/>
      <c r="GP154" s="63"/>
      <c r="GQ154" s="63"/>
      <c r="GR154" s="63"/>
      <c r="GT154" s="63"/>
      <c r="GU154" s="63"/>
      <c r="IR154" s="63"/>
      <c r="IS154" s="63"/>
      <c r="IT154" s="63"/>
      <c r="IU154" s="63"/>
      <c r="IV154" s="63"/>
      <c r="IW154" s="63"/>
      <c r="IX154" s="63"/>
      <c r="IY154" s="63"/>
      <c r="IZ154" s="63"/>
      <c r="JA154" s="63"/>
      <c r="JB154" s="63"/>
      <c r="JC154" s="63"/>
      <c r="JD154" s="63"/>
      <c r="JE154" s="63"/>
      <c r="JF154" s="63"/>
      <c r="JG154" s="63"/>
      <c r="JH154" s="63"/>
      <c r="JI154" s="63"/>
      <c r="JJ154" s="63"/>
      <c r="OF154" s="55"/>
      <c r="OG154" s="55"/>
      <c r="OH154" s="55"/>
      <c r="OI154" s="55"/>
      <c r="OJ154" s="55"/>
      <c r="OK154" s="55"/>
      <c r="OL154" s="55"/>
      <c r="OM154" s="55"/>
      <c r="ON154" s="55"/>
      <c r="OO154" s="55"/>
      <c r="OP154" s="55"/>
      <c r="OQ154" s="55"/>
      <c r="OR154" s="55"/>
      <c r="OS154" s="55"/>
      <c r="OT154" s="55"/>
      <c r="OU154" s="55"/>
      <c r="OV154" s="55"/>
      <c r="OW154" s="55"/>
      <c r="OX154" s="55"/>
      <c r="OY154" s="55"/>
      <c r="OZ154" s="55"/>
      <c r="PA154" s="55"/>
      <c r="PB154" s="55"/>
      <c r="PC154" s="55"/>
      <c r="PD154" s="55"/>
      <c r="PE154" s="55"/>
      <c r="PF154" s="55"/>
      <c r="PG154" s="55"/>
      <c r="PH154" s="55"/>
    </row>
    <row r="155" spans="97:445" ht="15" customHeight="1">
      <c r="CS155" s="426"/>
      <c r="CT155" s="426"/>
      <c r="CU155" s="426"/>
      <c r="CV155" s="426"/>
      <c r="CW155" s="426"/>
      <c r="DB155" s="426"/>
      <c r="DC155" s="426"/>
      <c r="DD155" s="426"/>
      <c r="DE155" s="426"/>
      <c r="DG155" s="55"/>
      <c r="DH155" s="55"/>
      <c r="DI155" s="55"/>
      <c r="DJ155" s="55"/>
      <c r="DK155" s="55"/>
      <c r="DL155" s="55"/>
      <c r="DM155" s="55"/>
      <c r="EE155" s="63"/>
      <c r="GO155" s="63"/>
      <c r="GP155" s="63"/>
      <c r="GQ155" s="63"/>
      <c r="GR155" s="63"/>
      <c r="GT155" s="63"/>
      <c r="GU155" s="63"/>
      <c r="IR155" s="63"/>
      <c r="IS155" s="63"/>
      <c r="IT155" s="63"/>
      <c r="IU155" s="63"/>
      <c r="IV155" s="63"/>
      <c r="IW155" s="63"/>
      <c r="IX155" s="63"/>
      <c r="IY155" s="63"/>
      <c r="IZ155" s="63"/>
      <c r="JA155" s="63"/>
      <c r="JB155" s="63"/>
      <c r="JC155" s="63"/>
      <c r="JD155" s="63"/>
      <c r="JE155" s="63"/>
      <c r="JF155" s="63"/>
      <c r="JG155" s="63"/>
      <c r="JH155" s="63"/>
      <c r="JI155" s="63"/>
      <c r="JJ155" s="63"/>
      <c r="OF155" s="55"/>
      <c r="OG155" s="55"/>
      <c r="OH155" s="55"/>
      <c r="OI155" s="55"/>
      <c r="OJ155" s="55"/>
      <c r="OK155" s="55"/>
      <c r="OL155" s="55"/>
      <c r="OM155" s="55"/>
      <c r="ON155" s="55"/>
      <c r="OO155" s="55"/>
      <c r="OP155" s="55"/>
      <c r="OQ155" s="55"/>
      <c r="OR155" s="55"/>
      <c r="OS155" s="55"/>
      <c r="OT155" s="55"/>
      <c r="OU155" s="55"/>
      <c r="OV155" s="55"/>
      <c r="OW155" s="55"/>
      <c r="OX155" s="55"/>
      <c r="OY155" s="55"/>
      <c r="OZ155" s="55"/>
      <c r="PA155" s="55"/>
      <c r="PB155" s="55"/>
      <c r="PC155" s="55"/>
      <c r="PD155" s="55"/>
      <c r="PE155" s="55"/>
      <c r="PF155" s="55"/>
      <c r="PG155" s="55"/>
      <c r="PH155" s="55"/>
    </row>
    <row r="156" spans="97:445" ht="15" customHeight="1">
      <c r="CS156" s="426"/>
      <c r="CT156" s="426"/>
      <c r="CU156" s="426"/>
      <c r="CV156" s="426"/>
      <c r="CW156" s="426"/>
      <c r="DB156" s="426"/>
      <c r="DC156" s="426"/>
      <c r="DD156" s="426"/>
      <c r="DE156" s="426"/>
      <c r="DG156" s="55"/>
      <c r="DH156" s="55"/>
      <c r="DI156" s="55"/>
      <c r="DJ156" s="55"/>
      <c r="DK156" s="55"/>
      <c r="DL156" s="55"/>
      <c r="DM156" s="55"/>
      <c r="EE156" s="63"/>
      <c r="GO156" s="63"/>
      <c r="GP156" s="63"/>
      <c r="GQ156" s="63"/>
      <c r="GR156" s="63"/>
      <c r="GT156" s="63"/>
      <c r="GU156" s="63"/>
      <c r="IR156" s="63"/>
      <c r="IS156" s="63"/>
      <c r="IT156" s="63"/>
      <c r="IU156" s="63"/>
      <c r="IV156" s="63"/>
      <c r="IW156" s="63"/>
      <c r="IX156" s="63"/>
      <c r="IY156" s="63"/>
      <c r="IZ156" s="63"/>
      <c r="JA156" s="63"/>
      <c r="JB156" s="63"/>
      <c r="JC156" s="63"/>
      <c r="JD156" s="63"/>
      <c r="JE156" s="63"/>
      <c r="JF156" s="63"/>
      <c r="JG156" s="63"/>
      <c r="JH156" s="63"/>
      <c r="JI156" s="63"/>
      <c r="JJ156" s="63"/>
      <c r="OF156" s="55"/>
      <c r="OG156" s="55"/>
      <c r="OH156" s="55"/>
      <c r="OI156" s="55"/>
      <c r="OJ156" s="55"/>
      <c r="OK156" s="55"/>
      <c r="OL156" s="55"/>
      <c r="OM156" s="55"/>
      <c r="ON156" s="55"/>
      <c r="OO156" s="55"/>
      <c r="OP156" s="55"/>
      <c r="OQ156" s="55"/>
      <c r="OR156" s="55"/>
      <c r="OS156" s="55"/>
      <c r="OT156" s="55"/>
      <c r="OU156" s="55"/>
      <c r="OV156" s="55"/>
      <c r="OW156" s="55"/>
      <c r="OX156" s="55"/>
      <c r="OY156" s="55"/>
      <c r="OZ156" s="55"/>
      <c r="PA156" s="55"/>
      <c r="PB156" s="55"/>
      <c r="PC156" s="55"/>
      <c r="PD156" s="55"/>
      <c r="PE156" s="55"/>
      <c r="PF156" s="55"/>
      <c r="PG156" s="55"/>
      <c r="PH156" s="55"/>
      <c r="PJ156" s="55"/>
      <c r="PK156" s="55"/>
      <c r="PL156" s="55"/>
      <c r="PM156" s="55"/>
      <c r="PN156" s="55"/>
      <c r="PO156" s="55"/>
      <c r="PP156" s="55"/>
      <c r="PQ156" s="55"/>
      <c r="PR156" s="55"/>
      <c r="PS156" s="55"/>
      <c r="PT156" s="55"/>
      <c r="PU156" s="55"/>
      <c r="PZ156" s="55"/>
      <c r="QA156" s="55"/>
      <c r="QB156" s="55"/>
      <c r="QC156" s="55"/>
    </row>
    <row r="157" spans="97:445" ht="15" customHeight="1">
      <c r="CS157" s="426"/>
      <c r="CT157" s="426"/>
      <c r="CU157" s="426"/>
      <c r="CV157" s="426"/>
      <c r="CW157" s="426"/>
      <c r="DB157" s="426"/>
      <c r="DC157" s="426"/>
      <c r="DD157" s="426"/>
      <c r="DE157" s="426"/>
      <c r="DG157" s="55"/>
      <c r="DH157" s="55"/>
      <c r="DI157" s="55"/>
      <c r="DJ157" s="55"/>
      <c r="DK157" s="55"/>
      <c r="DL157" s="55"/>
      <c r="DM157" s="55"/>
      <c r="EE157" s="63"/>
      <c r="GO157" s="63"/>
      <c r="GP157" s="63"/>
      <c r="GQ157" s="63"/>
      <c r="GR157" s="63"/>
      <c r="GT157" s="63"/>
      <c r="GU157" s="63"/>
      <c r="IR157" s="63"/>
      <c r="IS157" s="63"/>
      <c r="IT157" s="63"/>
      <c r="IU157" s="63"/>
      <c r="IV157" s="63"/>
      <c r="IW157" s="63"/>
      <c r="IX157" s="63"/>
      <c r="IY157" s="63"/>
      <c r="IZ157" s="63"/>
      <c r="JA157" s="63"/>
      <c r="JB157" s="63"/>
      <c r="JC157" s="63"/>
      <c r="JD157" s="63"/>
      <c r="JE157" s="63"/>
      <c r="JF157" s="63"/>
      <c r="JG157" s="63"/>
      <c r="JH157" s="63"/>
      <c r="JI157" s="63"/>
      <c r="JJ157" s="63"/>
      <c r="OF157" s="55"/>
      <c r="OG157" s="55"/>
      <c r="OH157" s="55"/>
      <c r="OI157" s="55"/>
      <c r="OJ157" s="55"/>
      <c r="OK157" s="55"/>
      <c r="OL157" s="55"/>
      <c r="OM157" s="55"/>
      <c r="ON157" s="55"/>
      <c r="OO157" s="55"/>
      <c r="OP157" s="55"/>
      <c r="OQ157" s="55"/>
      <c r="OR157" s="55"/>
      <c r="OS157" s="55"/>
      <c r="OT157" s="55"/>
      <c r="OU157" s="55"/>
      <c r="OV157" s="55"/>
      <c r="OW157" s="55"/>
      <c r="OX157" s="55"/>
      <c r="OY157" s="55"/>
      <c r="OZ157" s="55"/>
      <c r="PA157" s="55"/>
      <c r="PB157" s="55"/>
      <c r="PC157" s="55"/>
      <c r="PD157" s="55"/>
      <c r="PE157" s="55"/>
      <c r="PF157" s="55"/>
      <c r="PG157" s="55"/>
      <c r="PH157" s="55"/>
      <c r="PJ157" s="55"/>
      <c r="PK157" s="55"/>
      <c r="PL157" s="55"/>
      <c r="PM157" s="55"/>
      <c r="PN157" s="55"/>
      <c r="PO157" s="55"/>
      <c r="PP157" s="55"/>
      <c r="PQ157" s="55"/>
      <c r="PR157" s="55"/>
      <c r="PS157" s="55"/>
      <c r="PT157" s="55"/>
      <c r="PU157" s="55"/>
      <c r="PZ157" s="55"/>
      <c r="QA157" s="55"/>
      <c r="QB157" s="55"/>
      <c r="QC157" s="55"/>
    </row>
    <row r="158" spans="97:445" ht="15" customHeight="1">
      <c r="CS158" s="426"/>
      <c r="CT158" s="426"/>
      <c r="CU158" s="426"/>
      <c r="CV158" s="426"/>
      <c r="CW158" s="426"/>
      <c r="DB158" s="426"/>
      <c r="DC158" s="426"/>
      <c r="DD158" s="426"/>
      <c r="DE158" s="426"/>
      <c r="DG158" s="55"/>
      <c r="DH158" s="55"/>
      <c r="DI158" s="55"/>
      <c r="DJ158" s="55"/>
      <c r="DK158" s="55"/>
      <c r="DL158" s="55"/>
      <c r="DM158" s="55"/>
      <c r="EE158" s="63"/>
      <c r="GO158" s="63"/>
      <c r="GP158" s="63"/>
      <c r="GQ158" s="63"/>
      <c r="GR158" s="63"/>
      <c r="GT158" s="63"/>
      <c r="GU158" s="63"/>
      <c r="IR158" s="63"/>
      <c r="IS158" s="63"/>
      <c r="IT158" s="63"/>
      <c r="IU158" s="63"/>
      <c r="IV158" s="63"/>
      <c r="IW158" s="63"/>
      <c r="IX158" s="63"/>
      <c r="IY158" s="63"/>
      <c r="IZ158" s="63"/>
      <c r="JA158" s="63"/>
      <c r="JB158" s="63"/>
      <c r="JC158" s="63"/>
      <c r="JD158" s="63"/>
      <c r="JE158" s="63"/>
      <c r="JF158" s="63"/>
      <c r="JG158" s="63"/>
      <c r="JH158" s="63"/>
      <c r="JI158" s="63"/>
      <c r="JJ158" s="63"/>
      <c r="OF158" s="55"/>
      <c r="OG158" s="55"/>
      <c r="OH158" s="55"/>
      <c r="OI158" s="55"/>
      <c r="OJ158" s="55"/>
      <c r="OK158" s="55"/>
      <c r="OL158" s="55"/>
      <c r="OM158" s="55"/>
      <c r="ON158" s="55"/>
      <c r="OO158" s="55"/>
      <c r="OP158" s="55"/>
      <c r="OQ158" s="55"/>
      <c r="OR158" s="55"/>
      <c r="OS158" s="55"/>
      <c r="OT158" s="55"/>
      <c r="OU158" s="55"/>
      <c r="OV158" s="55"/>
      <c r="OW158" s="55"/>
      <c r="OX158" s="55"/>
      <c r="OY158" s="55"/>
      <c r="OZ158" s="55"/>
      <c r="PA158" s="55"/>
      <c r="PB158" s="55"/>
      <c r="PC158" s="55"/>
      <c r="PD158" s="55"/>
      <c r="PE158" s="55"/>
      <c r="PF158" s="55"/>
      <c r="PG158" s="55"/>
      <c r="PH158" s="55"/>
      <c r="PJ158" s="55"/>
      <c r="PK158" s="55"/>
      <c r="PL158" s="55"/>
      <c r="PM158" s="55"/>
      <c r="PN158" s="55"/>
      <c r="PO158" s="55"/>
      <c r="PP158" s="55"/>
      <c r="PQ158" s="55"/>
      <c r="PR158" s="55"/>
      <c r="PS158" s="55"/>
      <c r="PT158" s="55"/>
      <c r="PU158" s="55"/>
      <c r="PZ158" s="55"/>
      <c r="QA158" s="55"/>
      <c r="QB158" s="55"/>
      <c r="QC158" s="55"/>
    </row>
    <row r="159" spans="97:445" ht="15" customHeight="1">
      <c r="CS159" s="426"/>
      <c r="CT159" s="426"/>
      <c r="CU159" s="426"/>
      <c r="CV159" s="426"/>
      <c r="CW159" s="426"/>
      <c r="DB159" s="426"/>
      <c r="DC159" s="426"/>
      <c r="DD159" s="426"/>
      <c r="DE159" s="426"/>
      <c r="DG159" s="55"/>
      <c r="DH159" s="55"/>
      <c r="DI159" s="55"/>
      <c r="DJ159" s="55"/>
      <c r="DK159" s="55"/>
      <c r="DL159" s="55"/>
      <c r="DM159" s="55"/>
      <c r="EE159" s="63"/>
      <c r="GO159" s="63"/>
      <c r="GP159" s="63"/>
      <c r="GQ159" s="63"/>
      <c r="GR159" s="63"/>
      <c r="GT159" s="63"/>
      <c r="GU159" s="63"/>
      <c r="IR159" s="63"/>
      <c r="IS159" s="63"/>
      <c r="IT159" s="63"/>
      <c r="IU159" s="63"/>
      <c r="IV159" s="63"/>
      <c r="IW159" s="63"/>
      <c r="IX159" s="63"/>
      <c r="IY159" s="63"/>
      <c r="IZ159" s="63"/>
      <c r="JA159" s="63"/>
      <c r="JB159" s="63"/>
      <c r="JC159" s="63"/>
      <c r="JD159" s="63"/>
      <c r="JE159" s="63"/>
      <c r="JF159" s="63"/>
      <c r="JG159" s="63"/>
      <c r="JH159" s="63"/>
      <c r="JI159" s="63"/>
      <c r="JJ159" s="63"/>
      <c r="OF159" s="55"/>
      <c r="OG159" s="55"/>
      <c r="OH159" s="55"/>
      <c r="OI159" s="55"/>
      <c r="OJ159" s="55"/>
      <c r="OK159" s="55"/>
      <c r="OL159" s="55"/>
      <c r="OM159" s="55"/>
      <c r="ON159" s="55"/>
      <c r="OO159" s="55"/>
      <c r="OP159" s="55"/>
      <c r="OQ159" s="55"/>
      <c r="OR159" s="55"/>
      <c r="OS159" s="55"/>
      <c r="OT159" s="55"/>
      <c r="OU159" s="55"/>
      <c r="OV159" s="55"/>
      <c r="OW159" s="55"/>
      <c r="OX159" s="55"/>
      <c r="OY159" s="55"/>
      <c r="OZ159" s="55"/>
      <c r="PA159" s="55"/>
      <c r="PB159" s="55"/>
      <c r="PC159" s="55"/>
      <c r="PD159" s="55"/>
      <c r="PE159" s="55"/>
      <c r="PF159" s="55"/>
      <c r="PG159" s="55"/>
      <c r="PH159" s="55"/>
      <c r="PJ159" s="55"/>
      <c r="PK159" s="55"/>
      <c r="PL159" s="55"/>
      <c r="PM159" s="55"/>
      <c r="PN159" s="55"/>
      <c r="PO159" s="55"/>
      <c r="PP159" s="55"/>
      <c r="PQ159" s="55"/>
      <c r="PR159" s="55"/>
      <c r="PS159" s="55"/>
      <c r="PT159" s="55"/>
      <c r="PU159" s="55"/>
      <c r="PZ159" s="55"/>
      <c r="QA159" s="55"/>
      <c r="QB159" s="55"/>
      <c r="QC159" s="55"/>
    </row>
    <row r="160" spans="97:445" ht="15" customHeight="1">
      <c r="CS160" s="426"/>
      <c r="CT160" s="426"/>
      <c r="CU160" s="426"/>
      <c r="CV160" s="426"/>
      <c r="CW160" s="426"/>
      <c r="DB160" s="426"/>
      <c r="DC160" s="426"/>
      <c r="DD160" s="426"/>
      <c r="DE160" s="426"/>
      <c r="DG160" s="55"/>
      <c r="DH160" s="55"/>
      <c r="DI160" s="55"/>
      <c r="DJ160" s="55"/>
      <c r="DK160" s="55"/>
      <c r="DL160" s="55"/>
      <c r="DM160" s="55"/>
      <c r="EE160" s="63"/>
      <c r="GO160" s="63"/>
      <c r="GP160" s="63"/>
      <c r="GQ160" s="63"/>
      <c r="GR160" s="63"/>
      <c r="GT160" s="63"/>
      <c r="GU160" s="63"/>
      <c r="IR160" s="63"/>
      <c r="IS160" s="63"/>
      <c r="IT160" s="63"/>
      <c r="IU160" s="63"/>
      <c r="IV160" s="63"/>
      <c r="IW160" s="63"/>
      <c r="IX160" s="63"/>
      <c r="IY160" s="63"/>
      <c r="IZ160" s="63"/>
      <c r="JA160" s="63"/>
      <c r="JB160" s="63"/>
      <c r="JC160" s="63"/>
      <c r="JD160" s="63"/>
      <c r="JE160" s="63"/>
      <c r="JF160" s="63"/>
      <c r="JG160" s="63"/>
      <c r="JH160" s="63"/>
      <c r="JI160" s="63"/>
      <c r="JJ160" s="63"/>
      <c r="OF160" s="55"/>
      <c r="OG160" s="55"/>
      <c r="OH160" s="55"/>
      <c r="OI160" s="55"/>
      <c r="OJ160" s="55"/>
      <c r="OK160" s="55"/>
      <c r="OL160" s="55"/>
      <c r="OM160" s="55"/>
      <c r="ON160" s="55"/>
      <c r="OO160" s="55"/>
      <c r="OP160" s="55"/>
      <c r="OQ160" s="55"/>
      <c r="OR160" s="55"/>
      <c r="OS160" s="55"/>
      <c r="OT160" s="55"/>
      <c r="OU160" s="55"/>
      <c r="OV160" s="55"/>
      <c r="OW160" s="55"/>
      <c r="OX160" s="55"/>
      <c r="OY160" s="55"/>
      <c r="OZ160" s="55"/>
      <c r="PA160" s="55"/>
      <c r="PB160" s="55"/>
      <c r="PC160" s="55"/>
      <c r="PD160" s="55"/>
      <c r="PE160" s="55"/>
      <c r="PF160" s="55"/>
      <c r="PG160" s="55"/>
      <c r="PH160" s="55"/>
      <c r="PJ160" s="55"/>
      <c r="PK160" s="55"/>
      <c r="PL160" s="55"/>
      <c r="PM160" s="55"/>
      <c r="PN160" s="55"/>
      <c r="PO160" s="55"/>
      <c r="PP160" s="55"/>
      <c r="PQ160" s="55"/>
      <c r="PR160" s="55"/>
      <c r="PS160" s="55"/>
      <c r="PT160" s="55"/>
      <c r="PU160" s="55"/>
      <c r="PZ160" s="55"/>
      <c r="QA160" s="55"/>
      <c r="QB160" s="55"/>
      <c r="QC160" s="55"/>
    </row>
    <row r="161" spans="97:445" ht="15" customHeight="1">
      <c r="CS161" s="426"/>
      <c r="CT161" s="426"/>
      <c r="CU161" s="426"/>
      <c r="CV161" s="426"/>
      <c r="CW161" s="426"/>
      <c r="DB161" s="426"/>
      <c r="DC161" s="426"/>
      <c r="DD161" s="426"/>
      <c r="DE161" s="426"/>
      <c r="DG161" s="55"/>
      <c r="DH161" s="55"/>
      <c r="DI161" s="55"/>
      <c r="DJ161" s="55"/>
      <c r="DK161" s="55"/>
      <c r="DL161" s="55"/>
      <c r="DM161" s="55"/>
      <c r="EE161" s="63"/>
      <c r="GO161" s="63"/>
      <c r="GP161" s="63"/>
      <c r="GQ161" s="63"/>
      <c r="GR161" s="63"/>
      <c r="GT161" s="63"/>
      <c r="GU161" s="63"/>
      <c r="IR161" s="63"/>
      <c r="IS161" s="63"/>
      <c r="IT161" s="63"/>
      <c r="IU161" s="63"/>
      <c r="IV161" s="63"/>
      <c r="IW161" s="63"/>
      <c r="IX161" s="63"/>
      <c r="IY161" s="63"/>
      <c r="IZ161" s="63"/>
      <c r="JA161" s="63"/>
      <c r="JB161" s="63"/>
      <c r="JC161" s="63"/>
      <c r="JD161" s="63"/>
      <c r="JE161" s="63"/>
      <c r="JF161" s="63"/>
      <c r="JG161" s="63"/>
      <c r="JH161" s="63"/>
      <c r="JI161" s="63"/>
      <c r="JJ161" s="63"/>
      <c r="OF161" s="55"/>
      <c r="OG161" s="55"/>
      <c r="OH161" s="55"/>
      <c r="OI161" s="55"/>
      <c r="OJ161" s="55"/>
      <c r="OK161" s="55"/>
      <c r="OL161" s="55"/>
      <c r="OM161" s="55"/>
      <c r="ON161" s="55"/>
      <c r="OO161" s="55"/>
      <c r="OP161" s="55"/>
      <c r="OQ161" s="55"/>
      <c r="OR161" s="55"/>
      <c r="OS161" s="55"/>
      <c r="OT161" s="55"/>
      <c r="OU161" s="55"/>
      <c r="OV161" s="55"/>
      <c r="OW161" s="55"/>
      <c r="OX161" s="55"/>
      <c r="OY161" s="55"/>
      <c r="OZ161" s="55"/>
      <c r="PA161" s="55"/>
      <c r="PB161" s="55"/>
      <c r="PC161" s="55"/>
      <c r="PD161" s="55"/>
      <c r="PE161" s="55"/>
      <c r="PF161" s="55"/>
      <c r="PG161" s="55"/>
      <c r="PH161" s="55"/>
      <c r="PJ161" s="55"/>
      <c r="PK161" s="55"/>
      <c r="PL161" s="55"/>
      <c r="PM161" s="55"/>
      <c r="PN161" s="55"/>
      <c r="PO161" s="55"/>
      <c r="PP161" s="55"/>
      <c r="PQ161" s="55"/>
      <c r="PR161" s="55"/>
      <c r="PS161" s="55"/>
      <c r="PT161" s="55"/>
      <c r="PU161" s="55"/>
      <c r="PZ161" s="55"/>
      <c r="QA161" s="55"/>
      <c r="QB161" s="55"/>
      <c r="QC161" s="55"/>
    </row>
    <row r="162" spans="97:445" ht="15" customHeight="1">
      <c r="CS162" s="426"/>
      <c r="CT162" s="426"/>
      <c r="CU162" s="426"/>
      <c r="CV162" s="426"/>
      <c r="CW162" s="426"/>
      <c r="DB162" s="426"/>
      <c r="DC162" s="426"/>
      <c r="DD162" s="426"/>
      <c r="DE162" s="426"/>
      <c r="DG162" s="55"/>
      <c r="DH162" s="55"/>
      <c r="DI162" s="55"/>
      <c r="DJ162" s="55"/>
      <c r="DK162" s="55"/>
      <c r="DL162" s="55"/>
      <c r="DM162" s="55"/>
      <c r="EE162" s="63"/>
      <c r="GO162" s="63"/>
      <c r="GP162" s="63"/>
      <c r="GQ162" s="63"/>
      <c r="GR162" s="63"/>
      <c r="GT162" s="63"/>
      <c r="GU162" s="63"/>
      <c r="IR162" s="63"/>
      <c r="IS162" s="63"/>
      <c r="IT162" s="63"/>
      <c r="IU162" s="63"/>
      <c r="IV162" s="63"/>
      <c r="IW162" s="63"/>
      <c r="IX162" s="63"/>
      <c r="IY162" s="63"/>
      <c r="IZ162" s="63"/>
      <c r="JA162" s="63"/>
      <c r="JB162" s="63"/>
      <c r="JC162" s="63"/>
      <c r="JD162" s="63"/>
      <c r="JE162" s="63"/>
      <c r="JF162" s="63"/>
      <c r="JG162" s="63"/>
      <c r="JH162" s="63"/>
      <c r="JI162" s="63"/>
      <c r="JJ162" s="63"/>
      <c r="OF162" s="55"/>
      <c r="OG162" s="55"/>
      <c r="OH162" s="55"/>
      <c r="OI162" s="55"/>
      <c r="OJ162" s="55"/>
      <c r="OK162" s="55"/>
      <c r="OL162" s="55"/>
      <c r="OM162" s="55"/>
      <c r="ON162" s="55"/>
      <c r="OO162" s="55"/>
      <c r="OP162" s="55"/>
      <c r="OQ162" s="55"/>
      <c r="OR162" s="55"/>
      <c r="OS162" s="55"/>
      <c r="OT162" s="55"/>
      <c r="OU162" s="55"/>
      <c r="OV162" s="55"/>
      <c r="OW162" s="55"/>
      <c r="OX162" s="55"/>
      <c r="OY162" s="55"/>
      <c r="OZ162" s="55"/>
      <c r="PA162" s="55"/>
      <c r="PB162" s="55"/>
      <c r="PC162" s="55"/>
      <c r="PD162" s="55"/>
      <c r="PE162" s="55"/>
      <c r="PF162" s="55"/>
      <c r="PG162" s="55"/>
      <c r="PH162" s="55"/>
      <c r="PJ162" s="55"/>
      <c r="PK162" s="55"/>
      <c r="PL162" s="55"/>
      <c r="PM162" s="55"/>
      <c r="PN162" s="55"/>
      <c r="PO162" s="55"/>
      <c r="PP162" s="55"/>
      <c r="PQ162" s="55"/>
      <c r="PR162" s="55"/>
      <c r="PS162" s="55"/>
      <c r="PT162" s="55"/>
      <c r="PU162" s="55"/>
      <c r="PZ162" s="55"/>
      <c r="QA162" s="55"/>
      <c r="QB162" s="55"/>
      <c r="QC162" s="55"/>
    </row>
    <row r="163" spans="97:445" ht="15" customHeight="1">
      <c r="CS163" s="426"/>
      <c r="CT163" s="426"/>
      <c r="CU163" s="426"/>
      <c r="CV163" s="426"/>
      <c r="CW163" s="426"/>
      <c r="DB163" s="426"/>
      <c r="DC163" s="426"/>
      <c r="DD163" s="426"/>
      <c r="DE163" s="426"/>
      <c r="DG163" s="55"/>
      <c r="DH163" s="55"/>
      <c r="DI163" s="55"/>
      <c r="DJ163" s="55"/>
      <c r="DK163" s="55"/>
      <c r="DL163" s="55"/>
      <c r="DM163" s="55"/>
      <c r="EE163" s="63"/>
      <c r="GO163" s="63"/>
      <c r="GP163" s="63"/>
      <c r="GQ163" s="63"/>
      <c r="GR163" s="63"/>
      <c r="GT163" s="63"/>
      <c r="GU163" s="63"/>
      <c r="IR163" s="63"/>
      <c r="IS163" s="63"/>
      <c r="IT163" s="63"/>
      <c r="IU163" s="63"/>
      <c r="IV163" s="63"/>
      <c r="IW163" s="63"/>
      <c r="IX163" s="63"/>
      <c r="IY163" s="63"/>
      <c r="IZ163" s="63"/>
      <c r="JA163" s="63"/>
      <c r="JB163" s="63"/>
      <c r="JC163" s="63"/>
      <c r="JD163" s="63"/>
      <c r="JE163" s="63"/>
      <c r="JF163" s="63"/>
      <c r="JG163" s="63"/>
      <c r="JH163" s="63"/>
      <c r="JI163" s="63"/>
      <c r="JJ163" s="63"/>
      <c r="OF163" s="55"/>
      <c r="OG163" s="55"/>
      <c r="OH163" s="55"/>
      <c r="OI163" s="55"/>
      <c r="OJ163" s="55"/>
      <c r="OK163" s="55"/>
      <c r="OL163" s="55"/>
      <c r="OM163" s="55"/>
      <c r="ON163" s="55"/>
      <c r="OO163" s="55"/>
      <c r="OP163" s="55"/>
      <c r="OQ163" s="55"/>
      <c r="OR163" s="55"/>
      <c r="OS163" s="55"/>
      <c r="OT163" s="55"/>
      <c r="OU163" s="55"/>
      <c r="OV163" s="55"/>
      <c r="OW163" s="55"/>
      <c r="OX163" s="55"/>
      <c r="OY163" s="55"/>
      <c r="OZ163" s="55"/>
      <c r="PA163" s="55"/>
      <c r="PB163" s="55"/>
      <c r="PC163" s="55"/>
      <c r="PD163" s="55"/>
      <c r="PE163" s="55"/>
      <c r="PF163" s="55"/>
      <c r="PG163" s="55"/>
      <c r="PH163" s="55"/>
      <c r="PJ163" s="55"/>
      <c r="PK163" s="55"/>
      <c r="PL163" s="55"/>
      <c r="PM163" s="55"/>
      <c r="PN163" s="55"/>
      <c r="PO163" s="55"/>
      <c r="PP163" s="55"/>
      <c r="PQ163" s="55"/>
      <c r="PR163" s="55"/>
      <c r="PS163" s="55"/>
      <c r="PT163" s="55"/>
      <c r="PU163" s="55"/>
      <c r="PZ163" s="55"/>
      <c r="QA163" s="55"/>
      <c r="QB163" s="55"/>
      <c r="QC163" s="55"/>
    </row>
    <row r="164" spans="97:445" ht="15" customHeight="1">
      <c r="CS164" s="426"/>
      <c r="CT164" s="426"/>
      <c r="CU164" s="426"/>
      <c r="CV164" s="426"/>
      <c r="CW164" s="426"/>
      <c r="DB164" s="426"/>
      <c r="DC164" s="426"/>
      <c r="DD164" s="426"/>
      <c r="DE164" s="426"/>
      <c r="DG164" s="55"/>
      <c r="DH164" s="55"/>
      <c r="DI164" s="55"/>
      <c r="DJ164" s="55"/>
      <c r="DK164" s="55"/>
      <c r="DL164" s="55"/>
      <c r="DM164" s="55"/>
      <c r="EE164" s="63"/>
      <c r="GO164" s="63"/>
      <c r="GP164" s="63"/>
      <c r="GQ164" s="63"/>
      <c r="GR164" s="63"/>
      <c r="GT164" s="63"/>
      <c r="GU164" s="63"/>
      <c r="IR164" s="63"/>
      <c r="IS164" s="63"/>
      <c r="IT164" s="63"/>
      <c r="IU164" s="63"/>
      <c r="IV164" s="63"/>
      <c r="IW164" s="63"/>
      <c r="IX164" s="63"/>
      <c r="IY164" s="63"/>
      <c r="IZ164" s="63"/>
      <c r="JA164" s="63"/>
      <c r="JB164" s="63"/>
      <c r="JC164" s="63"/>
      <c r="JD164" s="63"/>
      <c r="JE164" s="63"/>
      <c r="JF164" s="63"/>
      <c r="JG164" s="63"/>
      <c r="JH164" s="63"/>
      <c r="JI164" s="63"/>
      <c r="JJ164" s="63"/>
      <c r="OF164" s="55"/>
      <c r="OG164" s="55"/>
      <c r="OH164" s="55"/>
      <c r="OI164" s="55"/>
      <c r="OJ164" s="55"/>
      <c r="OK164" s="55"/>
      <c r="OL164" s="55"/>
      <c r="OM164" s="55"/>
      <c r="ON164" s="55"/>
      <c r="OO164" s="55"/>
      <c r="OP164" s="55"/>
      <c r="OQ164" s="55"/>
      <c r="OR164" s="55"/>
      <c r="OS164" s="55"/>
      <c r="OT164" s="55"/>
      <c r="OU164" s="55"/>
      <c r="OV164" s="55"/>
      <c r="OW164" s="55"/>
      <c r="OX164" s="55"/>
      <c r="OY164" s="55"/>
      <c r="OZ164" s="55"/>
      <c r="PA164" s="55"/>
      <c r="PB164" s="55"/>
      <c r="PC164" s="55"/>
      <c r="PD164" s="55"/>
      <c r="PE164" s="55"/>
      <c r="PF164" s="55"/>
      <c r="PG164" s="55"/>
      <c r="PH164" s="55"/>
      <c r="PJ164" s="55"/>
      <c r="PK164" s="55"/>
      <c r="PL164" s="55"/>
      <c r="PM164" s="55"/>
      <c r="PN164" s="55"/>
      <c r="PO164" s="55"/>
      <c r="PP164" s="55"/>
      <c r="PQ164" s="55"/>
      <c r="PR164" s="55"/>
      <c r="PS164" s="55"/>
      <c r="PT164" s="55"/>
      <c r="PU164" s="55"/>
      <c r="PZ164" s="55"/>
      <c r="QA164" s="55"/>
      <c r="QB164" s="55"/>
      <c r="QC164" s="55"/>
    </row>
    <row r="165" spans="97:445" ht="15" customHeight="1">
      <c r="CS165" s="426"/>
      <c r="CT165" s="426"/>
      <c r="CU165" s="426"/>
      <c r="CV165" s="426"/>
      <c r="CW165" s="426"/>
      <c r="DB165" s="426"/>
      <c r="DC165" s="426"/>
      <c r="DD165" s="426"/>
      <c r="DE165" s="426"/>
      <c r="DG165" s="55"/>
      <c r="DH165" s="55"/>
      <c r="DI165" s="55"/>
      <c r="DJ165" s="55"/>
      <c r="DK165" s="55"/>
      <c r="DL165" s="55"/>
      <c r="DM165" s="55"/>
      <c r="EE165" s="63"/>
      <c r="GO165" s="63"/>
      <c r="GP165" s="63"/>
      <c r="GQ165" s="63"/>
      <c r="GR165" s="63"/>
      <c r="GT165" s="63"/>
      <c r="GU165" s="63"/>
      <c r="OF165" s="55"/>
      <c r="OG165" s="55"/>
      <c r="OH165" s="55"/>
      <c r="OI165" s="55"/>
      <c r="OJ165" s="55"/>
      <c r="OK165" s="55"/>
      <c r="OL165" s="55"/>
      <c r="OM165" s="55"/>
      <c r="ON165" s="55"/>
      <c r="OO165" s="55"/>
      <c r="OP165" s="55"/>
      <c r="OQ165" s="55"/>
      <c r="OR165" s="55"/>
      <c r="OS165" s="55"/>
      <c r="OT165" s="55"/>
      <c r="OU165" s="55"/>
      <c r="OV165" s="55"/>
      <c r="OW165" s="55"/>
      <c r="OX165" s="55"/>
      <c r="OY165" s="55"/>
      <c r="OZ165" s="55"/>
      <c r="PA165" s="55"/>
      <c r="PB165" s="55"/>
      <c r="PC165" s="55"/>
      <c r="PD165" s="55"/>
      <c r="PE165" s="55"/>
      <c r="PF165" s="55"/>
      <c r="PG165" s="55"/>
      <c r="PH165" s="55"/>
      <c r="PJ165" s="55"/>
      <c r="PK165" s="55"/>
      <c r="PL165" s="55"/>
      <c r="PM165" s="55"/>
      <c r="PN165" s="55"/>
      <c r="PO165" s="55"/>
      <c r="PP165" s="55"/>
      <c r="PQ165" s="55"/>
      <c r="PR165" s="55"/>
      <c r="PS165" s="55"/>
      <c r="PT165" s="55"/>
      <c r="PU165" s="55"/>
      <c r="PZ165" s="55"/>
      <c r="QA165" s="55"/>
      <c r="QB165" s="55"/>
      <c r="QC165" s="55"/>
    </row>
    <row r="166" spans="97:445" ht="15" customHeight="1">
      <c r="CS166" s="426"/>
      <c r="CT166" s="426"/>
      <c r="CU166" s="426"/>
      <c r="CV166" s="426"/>
      <c r="CW166" s="426"/>
      <c r="DB166" s="426"/>
      <c r="DC166" s="426"/>
      <c r="DD166" s="426"/>
      <c r="DE166" s="426"/>
      <c r="DG166" s="55"/>
      <c r="DH166" s="55"/>
      <c r="DI166" s="55"/>
      <c r="DJ166" s="55"/>
      <c r="DK166" s="55"/>
      <c r="DL166" s="55"/>
      <c r="DM166" s="55"/>
      <c r="EE166" s="63"/>
      <c r="GO166" s="63"/>
      <c r="GP166" s="63"/>
      <c r="GQ166" s="63"/>
      <c r="GR166" s="63"/>
      <c r="GT166" s="63"/>
      <c r="GU166" s="63"/>
      <c r="OF166" s="55"/>
      <c r="OG166" s="55"/>
      <c r="OH166" s="55"/>
      <c r="OI166" s="55"/>
      <c r="OJ166" s="55"/>
      <c r="OK166" s="55"/>
      <c r="OL166" s="55"/>
      <c r="OM166" s="55"/>
      <c r="ON166" s="55"/>
      <c r="OO166" s="55"/>
      <c r="OP166" s="55"/>
      <c r="OQ166" s="55"/>
      <c r="OR166" s="55"/>
      <c r="OS166" s="55"/>
      <c r="OT166" s="55"/>
      <c r="OU166" s="55"/>
      <c r="OV166" s="55"/>
      <c r="OW166" s="55"/>
      <c r="OX166" s="55"/>
      <c r="OY166" s="55"/>
      <c r="OZ166" s="55"/>
      <c r="PA166" s="55"/>
      <c r="PB166" s="55"/>
      <c r="PC166" s="55"/>
      <c r="PD166" s="55"/>
      <c r="PE166" s="55"/>
      <c r="PF166" s="55"/>
      <c r="PG166" s="55"/>
      <c r="PH166" s="55"/>
      <c r="PJ166" s="55"/>
      <c r="PK166" s="55"/>
      <c r="PL166" s="55"/>
      <c r="PM166" s="55"/>
      <c r="PN166" s="55"/>
      <c r="PO166" s="55"/>
      <c r="PP166" s="55"/>
      <c r="PQ166" s="55"/>
      <c r="PR166" s="55"/>
      <c r="PS166" s="55"/>
      <c r="PT166" s="55"/>
      <c r="PU166" s="55"/>
      <c r="PZ166" s="55"/>
      <c r="QA166" s="55"/>
      <c r="QB166" s="55"/>
      <c r="QC166" s="55"/>
    </row>
    <row r="167" spans="97:445" ht="15" customHeight="1">
      <c r="CS167" s="426"/>
      <c r="CT167" s="426"/>
      <c r="CU167" s="426"/>
      <c r="CV167" s="426"/>
      <c r="CW167" s="426"/>
      <c r="DB167" s="426"/>
      <c r="DC167" s="426"/>
      <c r="DD167" s="426"/>
      <c r="DE167" s="426"/>
      <c r="DG167" s="55"/>
      <c r="DH167" s="55"/>
      <c r="DI167" s="55"/>
      <c r="DJ167" s="55"/>
      <c r="DK167" s="55"/>
      <c r="DL167" s="55"/>
      <c r="DM167" s="55"/>
      <c r="EE167" s="63"/>
      <c r="GO167" s="63"/>
      <c r="OF167" s="55"/>
      <c r="OG167" s="55"/>
      <c r="OH167" s="55"/>
      <c r="OI167" s="55"/>
      <c r="OJ167" s="55"/>
      <c r="OK167" s="55"/>
      <c r="OL167" s="55"/>
      <c r="OM167" s="55"/>
      <c r="ON167" s="55"/>
      <c r="OO167" s="55"/>
      <c r="OP167" s="55"/>
      <c r="OQ167" s="55"/>
      <c r="OR167" s="55"/>
      <c r="OS167" s="55"/>
      <c r="OT167" s="55"/>
      <c r="OU167" s="55"/>
      <c r="OV167" s="55"/>
      <c r="OW167" s="55"/>
      <c r="OX167" s="55"/>
      <c r="OY167" s="55"/>
      <c r="OZ167" s="55"/>
      <c r="PA167" s="55"/>
      <c r="PB167" s="55"/>
      <c r="PC167" s="55"/>
      <c r="PD167" s="55"/>
      <c r="PE167" s="55"/>
      <c r="PF167" s="55"/>
      <c r="PG167" s="55"/>
      <c r="PH167" s="55"/>
      <c r="PJ167" s="55"/>
      <c r="PK167" s="55"/>
      <c r="PL167" s="55"/>
      <c r="PM167" s="55"/>
      <c r="PN167" s="55"/>
      <c r="PO167" s="55"/>
      <c r="PP167" s="55"/>
      <c r="PQ167" s="55"/>
      <c r="PR167" s="55"/>
      <c r="PS167" s="55"/>
      <c r="PT167" s="55"/>
      <c r="PU167" s="55"/>
      <c r="PZ167" s="55"/>
      <c r="QA167" s="55"/>
      <c r="QB167" s="55"/>
      <c r="QC167" s="55"/>
    </row>
    <row r="168" spans="97:445" ht="15" customHeight="1">
      <c r="CS168" s="426"/>
      <c r="CT168" s="426"/>
      <c r="CU168" s="426"/>
      <c r="CV168" s="426"/>
      <c r="CW168" s="426"/>
      <c r="DB168" s="426"/>
      <c r="DC168" s="426"/>
      <c r="DD168" s="426"/>
      <c r="DE168" s="426"/>
      <c r="DG168" s="55"/>
      <c r="DH168" s="55"/>
      <c r="DI168" s="55"/>
      <c r="DJ168" s="55"/>
      <c r="DK168" s="55"/>
      <c r="DL168" s="55"/>
      <c r="DM168" s="55"/>
      <c r="EE168" s="63"/>
      <c r="GO168" s="63"/>
      <c r="OF168" s="55"/>
      <c r="OG168" s="55"/>
      <c r="OH168" s="55"/>
      <c r="OI168" s="55"/>
      <c r="OJ168" s="55"/>
      <c r="OK168" s="55"/>
      <c r="OL168" s="55"/>
      <c r="OM168" s="55"/>
      <c r="ON168" s="55"/>
      <c r="OO168" s="55"/>
      <c r="OP168" s="55"/>
      <c r="OQ168" s="55"/>
      <c r="OR168" s="55"/>
      <c r="OS168" s="55"/>
      <c r="OT168" s="55"/>
      <c r="OU168" s="55"/>
      <c r="OV168" s="55"/>
      <c r="OW168" s="55"/>
      <c r="OX168" s="55"/>
      <c r="OY168" s="55"/>
      <c r="OZ168" s="55"/>
      <c r="PA168" s="55"/>
      <c r="PB168" s="55"/>
      <c r="PC168" s="55"/>
      <c r="PD168" s="55"/>
      <c r="PE168" s="55"/>
      <c r="PF168" s="55"/>
      <c r="PG168" s="55"/>
      <c r="PH168" s="55"/>
      <c r="PJ168" s="55"/>
      <c r="PK168" s="55"/>
      <c r="PL168" s="55"/>
      <c r="PM168" s="55"/>
      <c r="PN168" s="55"/>
      <c r="PO168" s="55"/>
      <c r="PP168" s="55"/>
      <c r="PQ168" s="55"/>
      <c r="PR168" s="55"/>
      <c r="PS168" s="55"/>
      <c r="PT168" s="55"/>
      <c r="PU168" s="55"/>
      <c r="PZ168" s="55"/>
      <c r="QA168" s="55"/>
      <c r="QB168" s="55"/>
      <c r="QC168" s="55"/>
    </row>
    <row r="169" spans="97:445" ht="15" customHeight="1">
      <c r="CS169" s="426"/>
      <c r="CT169" s="426"/>
      <c r="CU169" s="426"/>
      <c r="CV169" s="426"/>
      <c r="CW169" s="426"/>
      <c r="DB169" s="426"/>
      <c r="DC169" s="426"/>
      <c r="DD169" s="426"/>
      <c r="DE169" s="426"/>
      <c r="DG169" s="55"/>
      <c r="DH169" s="55"/>
      <c r="DI169" s="55"/>
      <c r="DJ169" s="55"/>
      <c r="DK169" s="55"/>
      <c r="DL169" s="55"/>
      <c r="DM169" s="55"/>
      <c r="EE169" s="63"/>
      <c r="GO169" s="63"/>
      <c r="OF169" s="55"/>
      <c r="OG169" s="55"/>
      <c r="OH169" s="55"/>
      <c r="OI169" s="55"/>
      <c r="OJ169" s="55"/>
      <c r="OK169" s="55"/>
      <c r="OL169" s="55"/>
      <c r="OM169" s="55"/>
      <c r="ON169" s="55"/>
      <c r="OO169" s="55"/>
      <c r="OP169" s="55"/>
      <c r="OQ169" s="55"/>
      <c r="OR169" s="55"/>
      <c r="OS169" s="55"/>
      <c r="OT169" s="55"/>
      <c r="OU169" s="55"/>
      <c r="OV169" s="55"/>
      <c r="OW169" s="55"/>
      <c r="OX169" s="55"/>
      <c r="OY169" s="55"/>
      <c r="OZ169" s="55"/>
      <c r="PA169" s="55"/>
      <c r="PB169" s="55"/>
      <c r="PC169" s="55"/>
      <c r="PD169" s="55"/>
      <c r="PE169" s="55"/>
      <c r="PF169" s="55"/>
      <c r="PG169" s="55"/>
      <c r="PH169" s="55"/>
      <c r="PJ169" s="55"/>
      <c r="PK169" s="55"/>
      <c r="PL169" s="55"/>
      <c r="PM169" s="55"/>
      <c r="PN169" s="55"/>
      <c r="PO169" s="55"/>
      <c r="PP169" s="55"/>
      <c r="PQ169" s="55"/>
      <c r="PR169" s="55"/>
      <c r="PS169" s="55"/>
      <c r="PT169" s="55"/>
      <c r="PU169" s="55"/>
      <c r="PZ169" s="55"/>
      <c r="QA169" s="55"/>
      <c r="QB169" s="55"/>
      <c r="QC169" s="55"/>
    </row>
    <row r="170" spans="97:445" ht="15" customHeight="1">
      <c r="CS170" s="426"/>
      <c r="CT170" s="426"/>
      <c r="CU170" s="426"/>
      <c r="CV170" s="426"/>
      <c r="CW170" s="426"/>
      <c r="DB170" s="426"/>
      <c r="DC170" s="426"/>
      <c r="DD170" s="426"/>
      <c r="DE170" s="426"/>
      <c r="DG170" s="55"/>
      <c r="DH170" s="55"/>
      <c r="DI170" s="55"/>
      <c r="DJ170" s="55"/>
      <c r="DK170" s="55"/>
      <c r="DL170" s="55"/>
      <c r="DM170" s="55"/>
      <c r="EE170" s="63"/>
      <c r="GO170" s="63"/>
      <c r="OF170" s="55"/>
      <c r="OG170" s="55"/>
      <c r="OH170" s="55"/>
      <c r="OI170" s="55"/>
      <c r="OJ170" s="55"/>
      <c r="OK170" s="55"/>
      <c r="OL170" s="55"/>
      <c r="OM170" s="55"/>
      <c r="ON170" s="55"/>
      <c r="OO170" s="55"/>
      <c r="OP170" s="55"/>
      <c r="OQ170" s="55"/>
      <c r="OR170" s="55"/>
      <c r="OS170" s="55"/>
      <c r="OT170" s="55"/>
      <c r="OU170" s="55"/>
      <c r="OV170" s="55"/>
      <c r="OW170" s="55"/>
      <c r="OX170" s="55"/>
      <c r="OY170" s="55"/>
      <c r="OZ170" s="55"/>
      <c r="PA170" s="55"/>
      <c r="PB170" s="55"/>
      <c r="PC170" s="55"/>
      <c r="PD170" s="55"/>
      <c r="PE170" s="55"/>
      <c r="PF170" s="55"/>
      <c r="PG170" s="55"/>
      <c r="PH170" s="55"/>
      <c r="PJ170" s="55"/>
      <c r="PK170" s="55"/>
      <c r="PL170" s="55"/>
      <c r="PM170" s="55"/>
      <c r="PN170" s="55"/>
      <c r="PO170" s="55"/>
      <c r="PP170" s="55"/>
      <c r="PQ170" s="55"/>
      <c r="PR170" s="55"/>
      <c r="PS170" s="55"/>
      <c r="PT170" s="55"/>
      <c r="PU170" s="55"/>
      <c r="PZ170" s="55"/>
      <c r="QA170" s="55"/>
      <c r="QB170" s="55"/>
      <c r="QC170" s="55"/>
    </row>
    <row r="171" spans="97:445" ht="15" customHeight="1">
      <c r="CS171" s="426"/>
      <c r="CT171" s="426"/>
      <c r="CU171" s="426"/>
      <c r="CV171" s="426"/>
      <c r="CW171" s="426"/>
      <c r="DB171" s="426"/>
      <c r="DC171" s="426"/>
      <c r="DD171" s="426"/>
      <c r="DE171" s="426"/>
      <c r="DG171" s="55"/>
      <c r="DH171" s="55"/>
      <c r="DI171" s="55"/>
      <c r="DJ171" s="55"/>
      <c r="DK171" s="55"/>
      <c r="DL171" s="55"/>
      <c r="DM171" s="55"/>
      <c r="EE171" s="63"/>
      <c r="GO171" s="63"/>
      <c r="OF171" s="55"/>
      <c r="OG171" s="55"/>
      <c r="OH171" s="55"/>
      <c r="OI171" s="55"/>
      <c r="OJ171" s="55"/>
      <c r="OK171" s="55"/>
      <c r="OL171" s="55"/>
      <c r="OM171" s="55"/>
      <c r="ON171" s="55"/>
      <c r="OO171" s="55"/>
      <c r="OP171" s="55"/>
      <c r="OQ171" s="55"/>
      <c r="OR171" s="55"/>
      <c r="OS171" s="55"/>
      <c r="OT171" s="55"/>
      <c r="OU171" s="55"/>
      <c r="OV171" s="55"/>
      <c r="OW171" s="55"/>
      <c r="OX171" s="55"/>
      <c r="OY171" s="55"/>
      <c r="OZ171" s="55"/>
      <c r="PA171" s="55"/>
      <c r="PB171" s="55"/>
      <c r="PC171" s="55"/>
      <c r="PD171" s="55"/>
      <c r="PE171" s="55"/>
      <c r="PF171" s="55"/>
      <c r="PG171" s="55"/>
      <c r="PH171" s="55"/>
      <c r="PJ171" s="55"/>
      <c r="PK171" s="55"/>
      <c r="PL171" s="55"/>
      <c r="PM171" s="55"/>
      <c r="PN171" s="55"/>
      <c r="PO171" s="55"/>
      <c r="PP171" s="55"/>
      <c r="PQ171" s="55"/>
      <c r="PR171" s="55"/>
      <c r="PS171" s="55"/>
      <c r="PT171" s="55"/>
      <c r="PU171" s="55"/>
      <c r="PZ171" s="55"/>
      <c r="QA171" s="55"/>
      <c r="QB171" s="55"/>
      <c r="QC171" s="55"/>
    </row>
    <row r="172" spans="97:445" ht="15" customHeight="1">
      <c r="CS172" s="426"/>
      <c r="CT172" s="426"/>
      <c r="CU172" s="426"/>
      <c r="CV172" s="426"/>
      <c r="CW172" s="426"/>
      <c r="DB172" s="426"/>
      <c r="DC172" s="426"/>
      <c r="DD172" s="426"/>
      <c r="DE172" s="426"/>
      <c r="DG172" s="55"/>
      <c r="DH172" s="55"/>
      <c r="DI172" s="55"/>
      <c r="DJ172" s="55"/>
      <c r="DK172" s="55"/>
      <c r="DL172" s="55"/>
      <c r="DM172" s="55"/>
      <c r="EE172" s="63"/>
      <c r="GO172" s="63"/>
      <c r="OF172" s="55"/>
      <c r="OG172" s="55"/>
      <c r="OH172" s="55"/>
      <c r="OI172" s="55"/>
      <c r="OJ172" s="55"/>
      <c r="OK172" s="55"/>
      <c r="OL172" s="55"/>
      <c r="OM172" s="55"/>
      <c r="ON172" s="55"/>
      <c r="OO172" s="55"/>
      <c r="OP172" s="55"/>
      <c r="OQ172" s="55"/>
      <c r="OR172" s="55"/>
      <c r="OS172" s="55"/>
      <c r="OT172" s="55"/>
      <c r="OU172" s="55"/>
      <c r="OV172" s="55"/>
      <c r="OW172" s="55"/>
      <c r="OX172" s="55"/>
      <c r="OY172" s="55"/>
      <c r="OZ172" s="55"/>
      <c r="PA172" s="55"/>
      <c r="PB172" s="55"/>
      <c r="PC172" s="55"/>
      <c r="PD172" s="55"/>
      <c r="PE172" s="55"/>
      <c r="PF172" s="55"/>
      <c r="PG172" s="55"/>
      <c r="PH172" s="55"/>
      <c r="PJ172" s="55"/>
      <c r="PK172" s="55"/>
      <c r="PL172" s="55"/>
      <c r="PM172" s="55"/>
      <c r="PN172" s="55"/>
      <c r="PO172" s="55"/>
      <c r="PP172" s="55"/>
      <c r="PQ172" s="55"/>
      <c r="PR172" s="55"/>
      <c r="PS172" s="55"/>
      <c r="PT172" s="55"/>
      <c r="PU172" s="55"/>
      <c r="PZ172" s="55"/>
      <c r="QA172" s="55"/>
      <c r="QB172" s="55"/>
      <c r="QC172" s="55"/>
    </row>
    <row r="173" spans="97:445" ht="15" customHeight="1">
      <c r="CS173" s="426"/>
      <c r="CT173" s="426"/>
      <c r="CU173" s="426"/>
      <c r="CV173" s="426"/>
      <c r="CW173" s="426"/>
      <c r="DB173" s="426"/>
      <c r="DC173" s="426"/>
      <c r="DD173" s="426"/>
      <c r="DE173" s="426"/>
      <c r="DG173" s="55"/>
      <c r="DH173" s="55"/>
      <c r="DI173" s="55"/>
      <c r="DJ173" s="55"/>
      <c r="DK173" s="55"/>
      <c r="DL173" s="55"/>
      <c r="DM173" s="55"/>
      <c r="EE173" s="63"/>
      <c r="GO173" s="63"/>
      <c r="OF173" s="55"/>
      <c r="OG173" s="55"/>
      <c r="OH173" s="55"/>
      <c r="OI173" s="55"/>
      <c r="OJ173" s="55"/>
      <c r="OK173" s="55"/>
      <c r="OL173" s="55"/>
      <c r="OM173" s="55"/>
      <c r="ON173" s="55"/>
      <c r="OO173" s="55"/>
      <c r="OP173" s="55"/>
      <c r="OQ173" s="55"/>
      <c r="OR173" s="55"/>
      <c r="OS173" s="55"/>
      <c r="OT173" s="55"/>
      <c r="OU173" s="55"/>
      <c r="OV173" s="55"/>
      <c r="OW173" s="55"/>
      <c r="OX173" s="55"/>
      <c r="OY173" s="55"/>
      <c r="OZ173" s="55"/>
      <c r="PA173" s="55"/>
      <c r="PB173" s="55"/>
      <c r="PC173" s="55"/>
      <c r="PD173" s="55"/>
      <c r="PE173" s="55"/>
      <c r="PF173" s="55"/>
      <c r="PG173" s="55"/>
      <c r="PH173" s="55"/>
      <c r="PJ173" s="55"/>
      <c r="PK173" s="55"/>
      <c r="PL173" s="55"/>
      <c r="PM173" s="55"/>
      <c r="PN173" s="55"/>
      <c r="PO173" s="55"/>
      <c r="PP173" s="55"/>
      <c r="PQ173" s="55"/>
      <c r="PR173" s="55"/>
      <c r="PS173" s="55"/>
      <c r="PT173" s="55"/>
      <c r="PU173" s="55"/>
      <c r="PZ173" s="55"/>
      <c r="QA173" s="55"/>
      <c r="QB173" s="55"/>
      <c r="QC173" s="55"/>
    </row>
    <row r="174" spans="97:445" ht="15" customHeight="1">
      <c r="CS174" s="426"/>
      <c r="CT174" s="426"/>
      <c r="CU174" s="426"/>
      <c r="CV174" s="426"/>
      <c r="CW174" s="426"/>
      <c r="DB174" s="426"/>
      <c r="DC174" s="426"/>
      <c r="DD174" s="426"/>
      <c r="DE174" s="426"/>
      <c r="DG174" s="55"/>
      <c r="DH174" s="55"/>
      <c r="DI174" s="55"/>
      <c r="DJ174" s="55"/>
      <c r="DK174" s="55"/>
      <c r="DL174" s="55"/>
      <c r="DM174" s="55"/>
      <c r="GO174" s="63"/>
      <c r="OF174" s="55"/>
      <c r="OG174" s="55"/>
      <c r="OH174" s="55"/>
      <c r="OI174" s="55"/>
      <c r="OJ174" s="55"/>
      <c r="OK174" s="55"/>
      <c r="OL174" s="55"/>
      <c r="OM174" s="55"/>
      <c r="ON174" s="55"/>
      <c r="OO174" s="55"/>
      <c r="OP174" s="55"/>
      <c r="OQ174" s="55"/>
      <c r="OR174" s="55"/>
      <c r="OS174" s="55"/>
      <c r="OT174" s="55"/>
      <c r="OU174" s="55"/>
      <c r="OV174" s="55"/>
      <c r="OW174" s="55"/>
      <c r="OX174" s="55"/>
      <c r="OY174" s="55"/>
      <c r="OZ174" s="55"/>
      <c r="PA174" s="55"/>
      <c r="PB174" s="55"/>
      <c r="PC174" s="55"/>
      <c r="PD174" s="55"/>
      <c r="PE174" s="55"/>
      <c r="PF174" s="55"/>
      <c r="PG174" s="55"/>
      <c r="PH174" s="55"/>
      <c r="PJ174" s="55"/>
      <c r="PK174" s="55"/>
      <c r="PL174" s="55"/>
      <c r="PM174" s="55"/>
      <c r="PN174" s="55"/>
      <c r="PO174" s="55"/>
      <c r="PP174" s="55"/>
      <c r="PQ174" s="55"/>
      <c r="PR174" s="55"/>
      <c r="PS174" s="55"/>
      <c r="PT174" s="55"/>
      <c r="PU174" s="55"/>
      <c r="PZ174" s="55"/>
      <c r="QA174" s="55"/>
      <c r="QB174" s="55"/>
      <c r="QC174" s="55"/>
    </row>
    <row r="175" spans="97:445" ht="15" customHeight="1">
      <c r="CS175" s="426"/>
      <c r="CT175" s="426"/>
      <c r="CU175" s="426"/>
      <c r="CV175" s="426"/>
      <c r="CW175" s="426"/>
      <c r="DB175" s="426"/>
      <c r="DC175" s="426"/>
      <c r="DD175" s="426"/>
      <c r="DE175" s="426"/>
      <c r="DG175" s="55"/>
      <c r="DH175" s="55"/>
      <c r="DI175" s="55"/>
      <c r="DJ175" s="55"/>
      <c r="DK175" s="55"/>
      <c r="DL175" s="55"/>
      <c r="DM175" s="55"/>
      <c r="GO175" s="63"/>
      <c r="OF175" s="55"/>
      <c r="OG175" s="55"/>
      <c r="OH175" s="55"/>
      <c r="OI175" s="55"/>
      <c r="OJ175" s="55"/>
      <c r="OK175" s="55"/>
      <c r="OL175" s="55"/>
      <c r="OM175" s="55"/>
      <c r="ON175" s="55"/>
      <c r="OO175" s="55"/>
      <c r="OP175" s="55"/>
      <c r="OQ175" s="55"/>
      <c r="OR175" s="55"/>
      <c r="OS175" s="55"/>
      <c r="OT175" s="55"/>
      <c r="OU175" s="55"/>
      <c r="OV175" s="55"/>
      <c r="OW175" s="55"/>
      <c r="OX175" s="55"/>
      <c r="OY175" s="55"/>
      <c r="OZ175" s="55"/>
      <c r="PA175" s="55"/>
      <c r="PB175" s="55"/>
      <c r="PC175" s="55"/>
      <c r="PD175" s="55"/>
      <c r="PE175" s="55"/>
      <c r="PF175" s="55"/>
      <c r="PG175" s="55"/>
      <c r="PH175" s="55"/>
      <c r="PJ175" s="55"/>
      <c r="PK175" s="55"/>
      <c r="PL175" s="55"/>
      <c r="PM175" s="55"/>
      <c r="PN175" s="55"/>
      <c r="PO175" s="55"/>
      <c r="PP175" s="55"/>
      <c r="PQ175" s="55"/>
      <c r="PR175" s="55"/>
      <c r="PS175" s="55"/>
      <c r="PT175" s="55"/>
      <c r="PU175" s="55"/>
      <c r="PZ175" s="55"/>
      <c r="QA175" s="55"/>
      <c r="QB175" s="55"/>
      <c r="QC175" s="55"/>
    </row>
    <row r="176" spans="97:445" ht="15" customHeight="1">
      <c r="CS176" s="426"/>
      <c r="CT176" s="426"/>
      <c r="CU176" s="426"/>
      <c r="CV176" s="426"/>
      <c r="CW176" s="426"/>
      <c r="DB176" s="426"/>
      <c r="DC176" s="426"/>
      <c r="DD176" s="426"/>
      <c r="DE176" s="426"/>
      <c r="DG176" s="55"/>
      <c r="DH176" s="55"/>
      <c r="DI176" s="55"/>
      <c r="DJ176" s="55"/>
      <c r="DK176" s="55"/>
      <c r="DL176" s="55"/>
      <c r="DM176" s="55"/>
      <c r="GO176" s="63"/>
      <c r="OF176" s="55"/>
      <c r="OG176" s="55"/>
      <c r="OH176" s="55"/>
      <c r="OI176" s="55"/>
      <c r="OJ176" s="55"/>
      <c r="OK176" s="55"/>
      <c r="OL176" s="55"/>
      <c r="OM176" s="55"/>
      <c r="ON176" s="55"/>
      <c r="OO176" s="55"/>
      <c r="OP176" s="55"/>
      <c r="OQ176" s="55"/>
      <c r="OR176" s="55"/>
      <c r="OS176" s="55"/>
      <c r="OT176" s="55"/>
      <c r="OU176" s="55"/>
      <c r="OV176" s="55"/>
      <c r="OW176" s="55"/>
      <c r="OX176" s="55"/>
      <c r="OY176" s="55"/>
      <c r="OZ176" s="55"/>
      <c r="PA176" s="55"/>
      <c r="PB176" s="55"/>
      <c r="PC176" s="55"/>
      <c r="PD176" s="55"/>
      <c r="PE176" s="55"/>
      <c r="PF176" s="55"/>
      <c r="PG176" s="55"/>
      <c r="PH176" s="55"/>
      <c r="PJ176" s="55"/>
      <c r="PK176" s="55"/>
      <c r="PL176" s="55"/>
      <c r="PM176" s="55"/>
      <c r="PN176" s="55"/>
      <c r="PO176" s="55"/>
      <c r="PP176" s="55"/>
      <c r="PQ176" s="55"/>
      <c r="PR176" s="55"/>
      <c r="PS176" s="55"/>
      <c r="PT176" s="55"/>
      <c r="PU176" s="55"/>
      <c r="PZ176" s="55"/>
      <c r="QA176" s="55"/>
      <c r="QB176" s="55"/>
      <c r="QC176" s="55"/>
    </row>
    <row r="177" spans="97:445" ht="15" customHeight="1">
      <c r="CS177" s="426"/>
      <c r="CT177" s="426"/>
      <c r="CU177" s="426"/>
      <c r="CV177" s="426"/>
      <c r="CW177" s="426"/>
      <c r="DB177" s="426"/>
      <c r="DC177" s="426"/>
      <c r="DD177" s="426"/>
      <c r="DE177" s="426"/>
      <c r="DG177" s="55"/>
      <c r="DH177" s="55"/>
      <c r="DI177" s="55"/>
      <c r="DJ177" s="55"/>
      <c r="DK177" s="55"/>
      <c r="DL177" s="55"/>
      <c r="DM177" s="55"/>
      <c r="GO177" s="63"/>
      <c r="OF177" s="55"/>
      <c r="OG177" s="55"/>
      <c r="OH177" s="55"/>
      <c r="OI177" s="55"/>
      <c r="OJ177" s="55"/>
      <c r="OK177" s="55"/>
      <c r="OL177" s="55"/>
      <c r="OM177" s="55"/>
      <c r="ON177" s="55"/>
      <c r="OO177" s="55"/>
      <c r="OP177" s="55"/>
      <c r="OQ177" s="55"/>
      <c r="OR177" s="55"/>
      <c r="OS177" s="55"/>
      <c r="OT177" s="55"/>
      <c r="OU177" s="55"/>
      <c r="OV177" s="55"/>
      <c r="OW177" s="55"/>
      <c r="OX177" s="55"/>
      <c r="OY177" s="55"/>
      <c r="OZ177" s="55"/>
      <c r="PA177" s="55"/>
      <c r="PB177" s="55"/>
      <c r="PC177" s="55"/>
      <c r="PD177" s="55"/>
      <c r="PE177" s="55"/>
      <c r="PF177" s="55"/>
      <c r="PG177" s="55"/>
      <c r="PH177" s="55"/>
      <c r="PJ177" s="55"/>
      <c r="PK177" s="55"/>
      <c r="PL177" s="55"/>
      <c r="PM177" s="55"/>
      <c r="PN177" s="55"/>
      <c r="PO177" s="55"/>
      <c r="PP177" s="55"/>
      <c r="PQ177" s="55"/>
      <c r="PR177" s="55"/>
      <c r="PS177" s="55"/>
      <c r="PT177" s="55"/>
      <c r="PU177" s="55"/>
      <c r="PZ177" s="55"/>
      <c r="QA177" s="55"/>
      <c r="QB177" s="55"/>
      <c r="QC177" s="55"/>
    </row>
    <row r="178" spans="97:445" ht="15" customHeight="1">
      <c r="CS178" s="426"/>
      <c r="CT178" s="426"/>
      <c r="CU178" s="426"/>
      <c r="CV178" s="426"/>
      <c r="CW178" s="426"/>
      <c r="DB178" s="426"/>
      <c r="DC178" s="426"/>
      <c r="DD178" s="426"/>
      <c r="DE178" s="426"/>
      <c r="DG178" s="55"/>
      <c r="DH178" s="55"/>
      <c r="DI178" s="55"/>
      <c r="DJ178" s="55"/>
      <c r="DK178" s="55"/>
      <c r="DL178" s="55"/>
      <c r="DM178" s="55"/>
      <c r="GO178" s="63"/>
      <c r="OF178" s="55"/>
      <c r="OG178" s="55"/>
      <c r="OH178" s="55"/>
      <c r="OI178" s="55"/>
      <c r="OJ178" s="55"/>
      <c r="OK178" s="55"/>
      <c r="OL178" s="55"/>
      <c r="OM178" s="55"/>
      <c r="ON178" s="55"/>
      <c r="OO178" s="55"/>
      <c r="OP178" s="55"/>
      <c r="OQ178" s="55"/>
      <c r="OR178" s="55"/>
      <c r="OS178" s="55"/>
      <c r="OT178" s="55"/>
      <c r="OU178" s="55"/>
      <c r="OV178" s="55"/>
      <c r="OW178" s="55"/>
      <c r="OX178" s="55"/>
      <c r="OY178" s="55"/>
      <c r="OZ178" s="55"/>
      <c r="PA178" s="55"/>
      <c r="PB178" s="55"/>
      <c r="PC178" s="55"/>
      <c r="PD178" s="55"/>
      <c r="PE178" s="55"/>
      <c r="PF178" s="55"/>
      <c r="PG178" s="55"/>
      <c r="PH178" s="55"/>
      <c r="PJ178" s="55"/>
      <c r="PK178" s="55"/>
      <c r="PL178" s="55"/>
      <c r="PM178" s="55"/>
      <c r="PN178" s="55"/>
      <c r="PO178" s="55"/>
      <c r="PP178" s="55"/>
      <c r="PQ178" s="55"/>
      <c r="PR178" s="55"/>
      <c r="PS178" s="55"/>
      <c r="PT178" s="55"/>
      <c r="PU178" s="55"/>
      <c r="PZ178" s="55"/>
      <c r="QA178" s="55"/>
      <c r="QB178" s="55"/>
      <c r="QC178" s="55"/>
    </row>
    <row r="179" spans="97:445" ht="15" customHeight="1">
      <c r="CS179" s="426"/>
      <c r="CT179" s="426"/>
      <c r="CU179" s="426"/>
      <c r="CV179" s="426"/>
      <c r="CW179" s="426"/>
      <c r="DB179" s="426"/>
      <c r="DC179" s="426"/>
      <c r="DD179" s="426"/>
      <c r="DE179" s="426"/>
      <c r="DG179" s="55"/>
      <c r="DH179" s="55"/>
      <c r="DI179" s="55"/>
      <c r="DJ179" s="55"/>
      <c r="DK179" s="55"/>
      <c r="DL179" s="55"/>
      <c r="DM179" s="55"/>
      <c r="GO179" s="63"/>
      <c r="OF179" s="55"/>
      <c r="OG179" s="55"/>
      <c r="OH179" s="55"/>
      <c r="OI179" s="55"/>
      <c r="OJ179" s="55"/>
      <c r="OK179" s="55"/>
      <c r="OL179" s="55"/>
      <c r="OM179" s="55"/>
      <c r="ON179" s="55"/>
      <c r="OO179" s="55"/>
      <c r="OP179" s="55"/>
      <c r="OQ179" s="55"/>
      <c r="OR179" s="55"/>
      <c r="OS179" s="55"/>
      <c r="OT179" s="55"/>
      <c r="OU179" s="55"/>
      <c r="OV179" s="55"/>
      <c r="OW179" s="55"/>
      <c r="OX179" s="55"/>
      <c r="OY179" s="55"/>
      <c r="OZ179" s="55"/>
      <c r="PA179" s="55"/>
      <c r="PB179" s="55"/>
      <c r="PC179" s="55"/>
      <c r="PD179" s="55"/>
      <c r="PE179" s="55"/>
      <c r="PF179" s="55"/>
      <c r="PG179" s="55"/>
      <c r="PH179" s="55"/>
      <c r="PJ179" s="55"/>
      <c r="PK179" s="55"/>
      <c r="PL179" s="55"/>
      <c r="PM179" s="55"/>
      <c r="PN179" s="55"/>
      <c r="PO179" s="55"/>
      <c r="PP179" s="55"/>
      <c r="PQ179" s="55"/>
      <c r="PR179" s="55"/>
      <c r="PS179" s="55"/>
      <c r="PT179" s="55"/>
      <c r="PU179" s="55"/>
      <c r="PZ179" s="55"/>
      <c r="QA179" s="55"/>
      <c r="QB179" s="55"/>
      <c r="QC179" s="55"/>
    </row>
    <row r="180" spans="97:445" ht="15" customHeight="1">
      <c r="CS180" s="426"/>
      <c r="CT180" s="426"/>
      <c r="CU180" s="426"/>
      <c r="CV180" s="426"/>
      <c r="CW180" s="426"/>
      <c r="DB180" s="426"/>
      <c r="DC180" s="426"/>
      <c r="DD180" s="426"/>
      <c r="DE180" s="426"/>
      <c r="DG180" s="55"/>
      <c r="DH180" s="55"/>
      <c r="DI180" s="55"/>
      <c r="DJ180" s="55"/>
      <c r="DK180" s="55"/>
      <c r="DL180" s="55"/>
      <c r="DM180" s="55"/>
      <c r="GO180" s="63"/>
      <c r="OF180" s="55"/>
      <c r="OG180" s="55"/>
      <c r="OH180" s="55"/>
      <c r="OI180" s="55"/>
      <c r="OJ180" s="55"/>
      <c r="OK180" s="55"/>
      <c r="OL180" s="55"/>
      <c r="OM180" s="55"/>
      <c r="ON180" s="55"/>
      <c r="OO180" s="55"/>
      <c r="OP180" s="55"/>
      <c r="OQ180" s="55"/>
      <c r="OR180" s="55"/>
      <c r="OS180" s="55"/>
      <c r="OT180" s="55"/>
      <c r="OU180" s="55"/>
      <c r="OV180" s="55"/>
      <c r="OW180" s="55"/>
      <c r="OX180" s="55"/>
      <c r="OY180" s="55"/>
      <c r="OZ180" s="55"/>
      <c r="PA180" s="55"/>
      <c r="PB180" s="55"/>
      <c r="PC180" s="55"/>
      <c r="PD180" s="55"/>
      <c r="PE180" s="55"/>
      <c r="PF180" s="55"/>
      <c r="PG180" s="55"/>
      <c r="PH180" s="55"/>
      <c r="PJ180" s="55"/>
      <c r="PK180" s="55"/>
      <c r="PL180" s="55"/>
      <c r="PM180" s="55"/>
      <c r="PN180" s="55"/>
      <c r="PO180" s="55"/>
      <c r="PP180" s="55"/>
      <c r="PQ180" s="55"/>
      <c r="PR180" s="55"/>
      <c r="PS180" s="55"/>
      <c r="PT180" s="55"/>
      <c r="PU180" s="55"/>
      <c r="PZ180" s="55"/>
      <c r="QA180" s="55"/>
      <c r="QB180" s="55"/>
      <c r="QC180" s="55"/>
    </row>
    <row r="181" spans="97:445" ht="15" customHeight="1">
      <c r="CS181" s="426"/>
      <c r="CT181" s="426"/>
      <c r="CU181" s="426"/>
      <c r="CV181" s="426"/>
      <c r="CW181" s="426"/>
      <c r="DB181" s="426"/>
      <c r="DC181" s="426"/>
      <c r="DD181" s="426"/>
      <c r="DE181" s="426"/>
      <c r="DG181" s="55"/>
      <c r="DH181" s="55"/>
      <c r="DI181" s="55"/>
      <c r="DJ181" s="55"/>
      <c r="DK181" s="55"/>
      <c r="DL181" s="55"/>
      <c r="DM181" s="55"/>
      <c r="OF181" s="55"/>
      <c r="OG181" s="55"/>
      <c r="OH181" s="55"/>
      <c r="OI181" s="55"/>
      <c r="OJ181" s="55"/>
      <c r="OK181" s="55"/>
      <c r="OL181" s="55"/>
      <c r="OM181" s="55"/>
      <c r="ON181" s="55"/>
      <c r="OO181" s="55"/>
      <c r="OP181" s="55"/>
      <c r="OQ181" s="55"/>
      <c r="OR181" s="55"/>
      <c r="OS181" s="55"/>
      <c r="OT181" s="55"/>
      <c r="OU181" s="55"/>
      <c r="OV181" s="55"/>
      <c r="OW181" s="55"/>
      <c r="OX181" s="55"/>
      <c r="OY181" s="55"/>
      <c r="OZ181" s="55"/>
      <c r="PA181" s="55"/>
      <c r="PB181" s="55"/>
      <c r="PC181" s="55"/>
      <c r="PD181" s="55"/>
      <c r="PE181" s="55"/>
      <c r="PF181" s="55"/>
      <c r="PG181" s="55"/>
      <c r="PH181" s="55"/>
      <c r="PJ181" s="55"/>
      <c r="PK181" s="55"/>
      <c r="PL181" s="55"/>
      <c r="PM181" s="55"/>
      <c r="PN181" s="55"/>
      <c r="PO181" s="55"/>
      <c r="PP181" s="55"/>
      <c r="PQ181" s="55"/>
      <c r="PR181" s="55"/>
      <c r="PS181" s="55"/>
      <c r="PT181" s="55"/>
      <c r="PU181" s="55"/>
      <c r="PZ181" s="55"/>
      <c r="QA181" s="55"/>
      <c r="QB181" s="55"/>
      <c r="QC181" s="55"/>
    </row>
    <row r="182" spans="97:445" ht="15" customHeight="1">
      <c r="CS182" s="426"/>
      <c r="CT182" s="426"/>
      <c r="CU182" s="426"/>
      <c r="CV182" s="426"/>
      <c r="CW182" s="426"/>
      <c r="DB182" s="426"/>
      <c r="DC182" s="426"/>
      <c r="DD182" s="426"/>
      <c r="DE182" s="426"/>
      <c r="DG182" s="55"/>
      <c r="DH182" s="55"/>
      <c r="DI182" s="55"/>
      <c r="DJ182" s="55"/>
      <c r="DK182" s="55"/>
      <c r="DL182" s="55"/>
      <c r="DM182" s="55"/>
      <c r="OF182" s="55"/>
      <c r="OG182" s="55"/>
      <c r="OH182" s="55"/>
      <c r="OI182" s="55"/>
      <c r="OJ182" s="55"/>
      <c r="OK182" s="55"/>
      <c r="OL182" s="55"/>
      <c r="OM182" s="55"/>
      <c r="ON182" s="55"/>
      <c r="OO182" s="55"/>
      <c r="OP182" s="55"/>
      <c r="OQ182" s="55"/>
      <c r="OR182" s="55"/>
      <c r="OS182" s="55"/>
      <c r="OT182" s="55"/>
      <c r="OU182" s="55"/>
      <c r="OV182" s="55"/>
      <c r="OW182" s="55"/>
      <c r="OX182" s="55"/>
      <c r="OY182" s="55"/>
      <c r="OZ182" s="55"/>
      <c r="PA182" s="55"/>
      <c r="PB182" s="55"/>
      <c r="PC182" s="55"/>
      <c r="PD182" s="55"/>
      <c r="PE182" s="55"/>
      <c r="PF182" s="55"/>
      <c r="PG182" s="55"/>
      <c r="PH182" s="55"/>
      <c r="PJ182" s="55"/>
      <c r="PK182" s="55"/>
      <c r="PL182" s="55"/>
      <c r="PM182" s="55"/>
      <c r="PN182" s="55"/>
      <c r="PO182" s="55"/>
      <c r="PP182" s="55"/>
      <c r="PQ182" s="55"/>
      <c r="PR182" s="55"/>
      <c r="PS182" s="55"/>
      <c r="PT182" s="55"/>
      <c r="PU182" s="55"/>
      <c r="PZ182" s="55"/>
      <c r="QA182" s="55"/>
      <c r="QB182" s="55"/>
      <c r="QC182" s="55"/>
    </row>
    <row r="183" spans="97:445" ht="15" customHeight="1">
      <c r="CS183" s="426"/>
      <c r="CT183" s="426"/>
      <c r="CU183" s="426"/>
      <c r="CV183" s="426"/>
      <c r="CW183" s="426"/>
      <c r="DB183" s="426"/>
      <c r="DC183" s="426"/>
      <c r="DD183" s="426"/>
      <c r="DE183" s="426"/>
      <c r="DG183" s="55"/>
      <c r="DH183" s="55"/>
      <c r="DI183" s="55"/>
      <c r="DJ183" s="55"/>
      <c r="DK183" s="55"/>
      <c r="DL183" s="55"/>
      <c r="DM183" s="55"/>
      <c r="OF183" s="55"/>
      <c r="OG183" s="55"/>
      <c r="OH183" s="55"/>
      <c r="OI183" s="55"/>
      <c r="OJ183" s="55"/>
      <c r="OK183" s="55"/>
      <c r="OL183" s="55"/>
      <c r="OM183" s="55"/>
      <c r="ON183" s="55"/>
      <c r="OO183" s="55"/>
      <c r="OP183" s="55"/>
      <c r="OQ183" s="55"/>
      <c r="OR183" s="55"/>
      <c r="OS183" s="55"/>
      <c r="OT183" s="55"/>
      <c r="OU183" s="55"/>
      <c r="OV183" s="55"/>
      <c r="OW183" s="55"/>
      <c r="OX183" s="55"/>
      <c r="OY183" s="55"/>
      <c r="OZ183" s="55"/>
      <c r="PA183" s="55"/>
      <c r="PB183" s="55"/>
      <c r="PC183" s="55"/>
      <c r="PD183" s="55"/>
      <c r="PE183" s="55"/>
      <c r="PF183" s="55"/>
      <c r="PG183" s="55"/>
      <c r="PH183" s="55"/>
      <c r="PJ183" s="55"/>
      <c r="PK183" s="55"/>
      <c r="PL183" s="55"/>
      <c r="PM183" s="55"/>
      <c r="PN183" s="55"/>
      <c r="PO183" s="55"/>
      <c r="PP183" s="55"/>
      <c r="PQ183" s="55"/>
      <c r="PR183" s="55"/>
      <c r="PS183" s="55"/>
      <c r="PT183" s="55"/>
      <c r="PU183" s="55"/>
      <c r="PZ183" s="55"/>
      <c r="QA183" s="55"/>
      <c r="QB183" s="55"/>
      <c r="QC183" s="55"/>
    </row>
    <row r="184" spans="97:445" ht="15" customHeight="1">
      <c r="CS184" s="426"/>
      <c r="CT184" s="426"/>
      <c r="CU184" s="426"/>
      <c r="CV184" s="426"/>
      <c r="CW184" s="426"/>
      <c r="DB184" s="426"/>
      <c r="DC184" s="426"/>
      <c r="DD184" s="426"/>
      <c r="DE184" s="426"/>
      <c r="DG184" s="55"/>
      <c r="DH184" s="55"/>
      <c r="DI184" s="55"/>
      <c r="DJ184" s="55"/>
      <c r="DK184" s="55"/>
      <c r="DL184" s="55"/>
      <c r="DM184" s="55"/>
      <c r="OF184" s="55"/>
      <c r="OG184" s="55"/>
      <c r="OH184" s="55"/>
      <c r="OI184" s="55"/>
      <c r="OJ184" s="55"/>
      <c r="OK184" s="55"/>
      <c r="OL184" s="55"/>
      <c r="OM184" s="55"/>
      <c r="ON184" s="55"/>
      <c r="OO184" s="55"/>
      <c r="OP184" s="55"/>
      <c r="OQ184" s="55"/>
      <c r="OR184" s="55"/>
      <c r="OS184" s="55"/>
      <c r="OT184" s="55"/>
      <c r="OU184" s="55"/>
      <c r="OV184" s="55"/>
      <c r="OW184" s="55"/>
      <c r="OX184" s="55"/>
      <c r="OY184" s="55"/>
      <c r="OZ184" s="55"/>
      <c r="PA184" s="55"/>
      <c r="PB184" s="55"/>
      <c r="PC184" s="55"/>
      <c r="PD184" s="55"/>
      <c r="PE184" s="55"/>
      <c r="PF184" s="55"/>
      <c r="PG184" s="55"/>
      <c r="PH184" s="55"/>
      <c r="PJ184" s="55"/>
      <c r="PK184" s="55"/>
      <c r="PL184" s="55"/>
      <c r="PM184" s="55"/>
      <c r="PN184" s="55"/>
      <c r="PO184" s="55"/>
      <c r="PP184" s="55"/>
      <c r="PQ184" s="55"/>
      <c r="PR184" s="55"/>
      <c r="PS184" s="55"/>
      <c r="PT184" s="55"/>
      <c r="PU184" s="55"/>
      <c r="PZ184" s="55"/>
      <c r="QA184" s="55"/>
      <c r="QB184" s="55"/>
      <c r="QC184" s="55"/>
    </row>
    <row r="185" spans="97:445" ht="15" customHeight="1">
      <c r="CS185" s="426"/>
      <c r="CT185" s="426"/>
      <c r="CU185" s="426"/>
      <c r="CV185" s="426"/>
      <c r="CW185" s="426"/>
      <c r="DB185" s="426"/>
      <c r="DC185" s="426"/>
      <c r="DD185" s="426"/>
      <c r="DE185" s="426"/>
      <c r="DG185" s="55"/>
      <c r="DH185" s="55"/>
      <c r="DI185" s="55"/>
      <c r="DJ185" s="55"/>
      <c r="DK185" s="55"/>
      <c r="DL185" s="55"/>
      <c r="DM185" s="55"/>
      <c r="OF185" s="55"/>
      <c r="OG185" s="55"/>
      <c r="OH185" s="55"/>
      <c r="OI185" s="55"/>
      <c r="OJ185" s="55"/>
      <c r="OK185" s="55"/>
      <c r="OL185" s="55"/>
      <c r="OM185" s="55"/>
      <c r="ON185" s="55"/>
      <c r="OO185" s="55"/>
      <c r="OP185" s="55"/>
      <c r="OQ185" s="55"/>
      <c r="OR185" s="55"/>
      <c r="OS185" s="55"/>
      <c r="OT185" s="55"/>
      <c r="OU185" s="55"/>
      <c r="OV185" s="55"/>
      <c r="OW185" s="55"/>
      <c r="OX185" s="55"/>
      <c r="OY185" s="55"/>
      <c r="OZ185" s="55"/>
      <c r="PA185" s="55"/>
      <c r="PB185" s="55"/>
      <c r="PC185" s="55"/>
      <c r="PD185" s="55"/>
      <c r="PE185" s="55"/>
      <c r="PF185" s="55"/>
      <c r="PG185" s="55"/>
      <c r="PH185" s="55"/>
      <c r="PJ185" s="55"/>
      <c r="PK185" s="55"/>
      <c r="PL185" s="55"/>
      <c r="PM185" s="55"/>
      <c r="PN185" s="55"/>
      <c r="PO185" s="55"/>
      <c r="PP185" s="55"/>
      <c r="PQ185" s="55"/>
      <c r="PR185" s="55"/>
      <c r="PS185" s="55"/>
      <c r="PT185" s="55"/>
      <c r="PU185" s="55"/>
      <c r="PZ185" s="55"/>
      <c r="QA185" s="55"/>
      <c r="QB185" s="55"/>
      <c r="QC185" s="55"/>
    </row>
    <row r="186" spans="97:445" ht="15" customHeight="1">
      <c r="CS186" s="426"/>
      <c r="CT186" s="426"/>
      <c r="CU186" s="426"/>
      <c r="CV186" s="426"/>
      <c r="CW186" s="426"/>
      <c r="DB186" s="426"/>
      <c r="DC186" s="426"/>
      <c r="DD186" s="426"/>
      <c r="DE186" s="426"/>
      <c r="DG186" s="55"/>
      <c r="DH186" s="55"/>
      <c r="DI186" s="55"/>
      <c r="DJ186" s="55"/>
      <c r="DK186" s="55"/>
      <c r="DL186" s="55"/>
      <c r="DM186" s="55"/>
      <c r="OF186" s="55"/>
      <c r="OG186" s="55"/>
      <c r="OH186" s="55"/>
      <c r="OI186" s="55"/>
      <c r="OJ186" s="55"/>
      <c r="OK186" s="55"/>
      <c r="OL186" s="55"/>
      <c r="OM186" s="55"/>
      <c r="ON186" s="55"/>
      <c r="OO186" s="55"/>
      <c r="OP186" s="55"/>
      <c r="OQ186" s="55"/>
      <c r="OR186" s="55"/>
      <c r="OS186" s="55"/>
      <c r="OT186" s="55"/>
      <c r="OU186" s="55"/>
      <c r="OV186" s="55"/>
      <c r="OW186" s="55"/>
      <c r="OX186" s="55"/>
      <c r="OY186" s="55"/>
      <c r="OZ186" s="55"/>
      <c r="PA186" s="55"/>
      <c r="PB186" s="55"/>
      <c r="PC186" s="55"/>
      <c r="PD186" s="55"/>
      <c r="PE186" s="55"/>
      <c r="PF186" s="55"/>
      <c r="PG186" s="55"/>
      <c r="PH186" s="55"/>
      <c r="PJ186" s="55"/>
      <c r="PK186" s="55"/>
      <c r="PL186" s="55"/>
      <c r="PM186" s="55"/>
      <c r="PN186" s="55"/>
      <c r="PO186" s="55"/>
      <c r="PP186" s="55"/>
      <c r="PQ186" s="55"/>
      <c r="PR186" s="55"/>
      <c r="PS186" s="55"/>
      <c r="PT186" s="55"/>
      <c r="PU186" s="55"/>
      <c r="PZ186" s="55"/>
      <c r="QA186" s="55"/>
      <c r="QB186" s="55"/>
      <c r="QC186" s="55"/>
    </row>
    <row r="187" spans="97:445" ht="15" customHeight="1">
      <c r="CS187" s="426"/>
      <c r="CT187" s="426"/>
      <c r="CU187" s="426"/>
      <c r="CV187" s="426"/>
      <c r="CW187" s="426"/>
      <c r="DB187" s="426"/>
      <c r="DC187" s="426"/>
      <c r="DD187" s="426"/>
      <c r="DE187" s="426"/>
      <c r="DG187" s="55"/>
      <c r="DH187" s="55"/>
      <c r="DI187" s="55"/>
      <c r="DJ187" s="55"/>
      <c r="DK187" s="55"/>
      <c r="DL187" s="55"/>
      <c r="DM187" s="55"/>
      <c r="OF187" s="55"/>
      <c r="OG187" s="55"/>
      <c r="OH187" s="55"/>
      <c r="OI187" s="55"/>
      <c r="OJ187" s="55"/>
      <c r="OK187" s="55"/>
      <c r="OL187" s="55"/>
      <c r="OM187" s="55"/>
      <c r="ON187" s="55"/>
      <c r="OO187" s="55"/>
      <c r="OP187" s="55"/>
      <c r="OQ187" s="55"/>
      <c r="OR187" s="55"/>
      <c r="OS187" s="55"/>
      <c r="OT187" s="55"/>
      <c r="OU187" s="55"/>
      <c r="OV187" s="55"/>
      <c r="OW187" s="55"/>
      <c r="OX187" s="55"/>
      <c r="OY187" s="55"/>
      <c r="OZ187" s="55"/>
      <c r="PA187" s="55"/>
      <c r="PB187" s="55"/>
      <c r="PC187" s="55"/>
      <c r="PD187" s="55"/>
      <c r="PE187" s="55"/>
      <c r="PF187" s="55"/>
      <c r="PG187" s="55"/>
      <c r="PH187" s="55"/>
      <c r="PJ187" s="55"/>
      <c r="PK187" s="55"/>
      <c r="PL187" s="55"/>
      <c r="PM187" s="55"/>
      <c r="PN187" s="55"/>
      <c r="PO187" s="55"/>
      <c r="PP187" s="55"/>
      <c r="PQ187" s="55"/>
      <c r="PR187" s="55"/>
      <c r="PS187" s="55"/>
      <c r="PT187" s="55"/>
      <c r="PU187" s="55"/>
      <c r="PZ187" s="55"/>
      <c r="QA187" s="55"/>
      <c r="QB187" s="55"/>
      <c r="QC187" s="55"/>
    </row>
    <row r="188" spans="97:445" ht="15" customHeight="1">
      <c r="CS188" s="426"/>
      <c r="CT188" s="426"/>
      <c r="CU188" s="426"/>
      <c r="CV188" s="426"/>
      <c r="CW188" s="426"/>
      <c r="DB188" s="426"/>
      <c r="DC188" s="426"/>
      <c r="DD188" s="426"/>
      <c r="DE188" s="426"/>
      <c r="DG188" s="55"/>
      <c r="DH188" s="55"/>
      <c r="DI188" s="55"/>
      <c r="DJ188" s="55"/>
      <c r="DK188" s="55"/>
      <c r="DL188" s="55"/>
      <c r="DM188" s="55"/>
      <c r="OF188" s="55"/>
      <c r="OG188" s="55"/>
      <c r="OH188" s="55"/>
      <c r="OI188" s="55"/>
      <c r="OJ188" s="55"/>
      <c r="OK188" s="55"/>
      <c r="OL188" s="55"/>
      <c r="OM188" s="55"/>
      <c r="ON188" s="55"/>
      <c r="OO188" s="55"/>
      <c r="OP188" s="55"/>
      <c r="OQ188" s="55"/>
      <c r="OR188" s="55"/>
      <c r="OS188" s="55"/>
      <c r="OT188" s="55"/>
      <c r="OU188" s="55"/>
      <c r="OV188" s="55"/>
      <c r="OW188" s="55"/>
      <c r="OX188" s="55"/>
      <c r="OY188" s="55"/>
      <c r="OZ188" s="55"/>
      <c r="PA188" s="55"/>
      <c r="PB188" s="55"/>
      <c r="PC188" s="55"/>
      <c r="PD188" s="55"/>
      <c r="PE188" s="55"/>
      <c r="PF188" s="55"/>
      <c r="PG188" s="55"/>
      <c r="PH188" s="55"/>
      <c r="PJ188" s="55"/>
      <c r="PK188" s="55"/>
      <c r="PL188" s="55"/>
      <c r="PM188" s="55"/>
      <c r="PN188" s="55"/>
      <c r="PO188" s="55"/>
      <c r="PP188" s="55"/>
      <c r="PQ188" s="55"/>
      <c r="PR188" s="55"/>
      <c r="PS188" s="55"/>
      <c r="PT188" s="55"/>
      <c r="PU188" s="55"/>
      <c r="PZ188" s="55"/>
      <c r="QA188" s="55"/>
      <c r="QB188" s="55"/>
      <c r="QC188" s="55"/>
    </row>
    <row r="189" spans="97:445" ht="15" customHeight="1">
      <c r="CS189" s="426"/>
      <c r="CT189" s="426"/>
      <c r="CU189" s="426"/>
      <c r="CV189" s="426"/>
      <c r="CW189" s="426"/>
      <c r="DB189" s="426"/>
      <c r="DC189" s="426"/>
      <c r="DD189" s="426"/>
      <c r="DE189" s="426"/>
      <c r="DG189" s="55"/>
      <c r="DH189" s="55"/>
      <c r="DI189" s="55"/>
      <c r="DJ189" s="55"/>
      <c r="DK189" s="55"/>
      <c r="DL189" s="55"/>
      <c r="DM189" s="55"/>
      <c r="OF189" s="55"/>
      <c r="OG189" s="55"/>
      <c r="OH189" s="55"/>
      <c r="OI189" s="55"/>
      <c r="OJ189" s="55"/>
      <c r="OK189" s="55"/>
      <c r="OL189" s="55"/>
      <c r="OM189" s="55"/>
      <c r="ON189" s="55"/>
      <c r="OO189" s="55"/>
      <c r="OP189" s="55"/>
      <c r="OQ189" s="55"/>
      <c r="OR189" s="55"/>
      <c r="OS189" s="55"/>
      <c r="OT189" s="55"/>
      <c r="OU189" s="55"/>
      <c r="OV189" s="55"/>
      <c r="OW189" s="55"/>
      <c r="OX189" s="55"/>
      <c r="OY189" s="55"/>
      <c r="OZ189" s="55"/>
      <c r="PA189" s="55"/>
      <c r="PB189" s="55"/>
      <c r="PC189" s="55"/>
      <c r="PD189" s="55"/>
      <c r="PE189" s="55"/>
      <c r="PF189" s="55"/>
      <c r="PG189" s="55"/>
      <c r="PH189" s="55"/>
      <c r="PJ189" s="55"/>
      <c r="PK189" s="55"/>
      <c r="PL189" s="55"/>
      <c r="PM189" s="55"/>
      <c r="PN189" s="55"/>
      <c r="PO189" s="55"/>
      <c r="PP189" s="55"/>
      <c r="PQ189" s="55"/>
      <c r="PR189" s="55"/>
      <c r="PS189" s="55"/>
      <c r="PT189" s="55"/>
      <c r="PU189" s="55"/>
      <c r="PZ189" s="55"/>
      <c r="QA189" s="55"/>
      <c r="QB189" s="55"/>
      <c r="QC189" s="55"/>
    </row>
    <row r="190" spans="97:445" ht="15" customHeight="1">
      <c r="CS190" s="426"/>
      <c r="CT190" s="426"/>
      <c r="CU190" s="426"/>
      <c r="CV190" s="426"/>
      <c r="CW190" s="426"/>
      <c r="DB190" s="426"/>
      <c r="DC190" s="426"/>
      <c r="DD190" s="426"/>
      <c r="DE190" s="426"/>
      <c r="DG190" s="55"/>
      <c r="DH190" s="55"/>
      <c r="DI190" s="55"/>
      <c r="DJ190" s="55"/>
      <c r="DK190" s="55"/>
      <c r="DL190" s="55"/>
      <c r="DM190" s="55"/>
      <c r="OF190" s="55"/>
      <c r="OG190" s="55"/>
      <c r="OH190" s="55"/>
      <c r="OI190" s="55"/>
      <c r="OJ190" s="55"/>
      <c r="OK190" s="55"/>
      <c r="OL190" s="55"/>
      <c r="OM190" s="55"/>
      <c r="ON190" s="55"/>
      <c r="OO190" s="55"/>
      <c r="OP190" s="55"/>
      <c r="OQ190" s="55"/>
      <c r="OR190" s="55"/>
      <c r="OS190" s="55"/>
      <c r="OT190" s="55"/>
      <c r="OU190" s="55"/>
      <c r="OV190" s="55"/>
      <c r="OW190" s="55"/>
      <c r="OX190" s="55"/>
      <c r="OY190" s="55"/>
      <c r="OZ190" s="55"/>
      <c r="PA190" s="55"/>
      <c r="PB190" s="55"/>
      <c r="PC190" s="55"/>
      <c r="PD190" s="55"/>
      <c r="PE190" s="55"/>
      <c r="PF190" s="55"/>
      <c r="PG190" s="55"/>
      <c r="PH190" s="55"/>
      <c r="PJ190" s="55"/>
      <c r="PK190" s="55"/>
      <c r="PL190" s="55"/>
      <c r="PM190" s="55"/>
      <c r="PN190" s="55"/>
      <c r="PO190" s="55"/>
      <c r="PP190" s="55"/>
      <c r="PQ190" s="55"/>
      <c r="PR190" s="55"/>
      <c r="PS190" s="55"/>
      <c r="PT190" s="55"/>
      <c r="PU190" s="55"/>
      <c r="PZ190" s="55"/>
      <c r="QA190" s="55"/>
      <c r="QB190" s="55"/>
      <c r="QC190" s="55"/>
    </row>
    <row r="191" spans="97:445" ht="15" customHeight="1">
      <c r="CS191" s="426"/>
      <c r="CT191" s="426"/>
      <c r="CU191" s="426"/>
      <c r="CV191" s="426"/>
      <c r="CW191" s="426"/>
      <c r="DB191" s="426"/>
      <c r="DC191" s="426"/>
      <c r="DD191" s="426"/>
      <c r="DE191" s="426"/>
      <c r="DG191" s="55"/>
      <c r="DH191" s="55"/>
      <c r="DI191" s="55"/>
      <c r="DJ191" s="55"/>
      <c r="DK191" s="55"/>
      <c r="DL191" s="55"/>
      <c r="DM191" s="55"/>
      <c r="OF191" s="55"/>
      <c r="OG191" s="55"/>
      <c r="OH191" s="55"/>
      <c r="OI191" s="55"/>
      <c r="OJ191" s="55"/>
      <c r="OK191" s="55"/>
      <c r="OL191" s="55"/>
      <c r="OM191" s="55"/>
      <c r="ON191" s="55"/>
      <c r="OO191" s="55"/>
      <c r="OP191" s="55"/>
      <c r="OQ191" s="55"/>
      <c r="OR191" s="55"/>
      <c r="OS191" s="55"/>
      <c r="OT191" s="55"/>
      <c r="OU191" s="55"/>
      <c r="OV191" s="55"/>
      <c r="OW191" s="55"/>
      <c r="OX191" s="55"/>
      <c r="OY191" s="55"/>
      <c r="OZ191" s="55"/>
      <c r="PA191" s="55"/>
      <c r="PB191" s="55"/>
      <c r="PC191" s="55"/>
      <c r="PD191" s="55"/>
      <c r="PE191" s="55"/>
      <c r="PF191" s="55"/>
      <c r="PG191" s="55"/>
      <c r="PH191" s="55"/>
      <c r="PJ191" s="55"/>
      <c r="PK191" s="55"/>
      <c r="PL191" s="55"/>
      <c r="PM191" s="55"/>
      <c r="PN191" s="55"/>
      <c r="PO191" s="55"/>
      <c r="PP191" s="55"/>
      <c r="PQ191" s="55"/>
      <c r="PR191" s="55"/>
      <c r="PS191" s="55"/>
      <c r="PT191" s="55"/>
      <c r="PU191" s="55"/>
      <c r="PZ191" s="55"/>
      <c r="QA191" s="55"/>
      <c r="QB191" s="55"/>
      <c r="QC191" s="55"/>
    </row>
    <row r="192" spans="97:445" ht="15" customHeight="1">
      <c r="CS192" s="426"/>
      <c r="CT192" s="426"/>
      <c r="CU192" s="426"/>
      <c r="CV192" s="426"/>
      <c r="CW192" s="426"/>
      <c r="DB192" s="426"/>
      <c r="DC192" s="426"/>
      <c r="DD192" s="426"/>
      <c r="DE192" s="426"/>
      <c r="DG192" s="55"/>
      <c r="DH192" s="55"/>
      <c r="DI192" s="55"/>
      <c r="DJ192" s="55"/>
      <c r="DK192" s="55"/>
      <c r="DL192" s="55"/>
      <c r="DM192" s="55"/>
      <c r="OF192" s="55"/>
      <c r="OG192" s="55"/>
      <c r="OH192" s="55"/>
      <c r="OI192" s="55"/>
      <c r="OJ192" s="55"/>
      <c r="OK192" s="55"/>
      <c r="OL192" s="55"/>
      <c r="OM192" s="55"/>
      <c r="ON192" s="55"/>
      <c r="OO192" s="55"/>
      <c r="OP192" s="55"/>
      <c r="OQ192" s="55"/>
      <c r="OR192" s="55"/>
      <c r="OS192" s="55"/>
      <c r="OT192" s="55"/>
      <c r="OU192" s="55"/>
      <c r="OV192" s="55"/>
      <c r="OW192" s="55"/>
      <c r="OX192" s="55"/>
      <c r="OY192" s="55"/>
      <c r="OZ192" s="55"/>
      <c r="PA192" s="55"/>
      <c r="PB192" s="55"/>
      <c r="PC192" s="55"/>
      <c r="PD192" s="55"/>
      <c r="PE192" s="55"/>
      <c r="PF192" s="55"/>
      <c r="PG192" s="55"/>
      <c r="PH192" s="55"/>
      <c r="PJ192" s="55"/>
      <c r="PK192" s="55"/>
      <c r="PL192" s="55"/>
      <c r="PM192" s="55"/>
      <c r="PN192" s="55"/>
      <c r="PO192" s="55"/>
      <c r="PP192" s="55"/>
      <c r="PQ192" s="55"/>
      <c r="PR192" s="55"/>
      <c r="PS192" s="55"/>
      <c r="PT192" s="55"/>
      <c r="PU192" s="55"/>
      <c r="PZ192" s="55"/>
      <c r="QA192" s="55"/>
      <c r="QB192" s="55"/>
      <c r="QC192" s="55"/>
    </row>
    <row r="193" spans="97:445" ht="15" customHeight="1">
      <c r="CS193" s="426"/>
      <c r="CT193" s="426"/>
      <c r="CU193" s="426"/>
      <c r="CV193" s="426"/>
      <c r="CW193" s="426"/>
      <c r="DB193" s="426"/>
      <c r="DC193" s="426"/>
      <c r="DD193" s="426"/>
      <c r="DE193" s="426"/>
      <c r="DG193" s="55"/>
      <c r="DH193" s="55"/>
      <c r="DI193" s="55"/>
      <c r="DJ193" s="55"/>
      <c r="DK193" s="55"/>
      <c r="DL193" s="55"/>
      <c r="DM193" s="55"/>
      <c r="OF193" s="55"/>
      <c r="OG193" s="55"/>
      <c r="OH193" s="55"/>
      <c r="OI193" s="55"/>
      <c r="OJ193" s="55"/>
      <c r="OK193" s="55"/>
      <c r="OL193" s="55"/>
      <c r="OM193" s="55"/>
      <c r="ON193" s="55"/>
      <c r="OO193" s="55"/>
      <c r="OP193" s="55"/>
      <c r="OQ193" s="55"/>
      <c r="OR193" s="55"/>
      <c r="OS193" s="55"/>
      <c r="OT193" s="55"/>
      <c r="OU193" s="55"/>
      <c r="OV193" s="55"/>
      <c r="OW193" s="55"/>
      <c r="OX193" s="55"/>
      <c r="OY193" s="55"/>
      <c r="OZ193" s="55"/>
      <c r="PA193" s="55"/>
      <c r="PB193" s="55"/>
      <c r="PC193" s="55"/>
      <c r="PD193" s="55"/>
      <c r="PE193" s="55"/>
      <c r="PF193" s="55"/>
      <c r="PG193" s="55"/>
      <c r="PH193" s="55"/>
      <c r="PJ193" s="55"/>
      <c r="PK193" s="55"/>
      <c r="PL193" s="55"/>
      <c r="PM193" s="55"/>
      <c r="PN193" s="55"/>
      <c r="PO193" s="55"/>
      <c r="PP193" s="55"/>
      <c r="PQ193" s="55"/>
      <c r="PR193" s="55"/>
      <c r="PS193" s="55"/>
      <c r="PT193" s="55"/>
      <c r="PU193" s="55"/>
      <c r="PZ193" s="55"/>
      <c r="QA193" s="55"/>
      <c r="QB193" s="55"/>
      <c r="QC193" s="55"/>
    </row>
    <row r="194" spans="97:445" ht="15" customHeight="1">
      <c r="CS194" s="426"/>
      <c r="CT194" s="426"/>
      <c r="CU194" s="426"/>
      <c r="CV194" s="426"/>
      <c r="CW194" s="426"/>
      <c r="DB194" s="426"/>
      <c r="DC194" s="426"/>
      <c r="DD194" s="426"/>
      <c r="DE194" s="426"/>
      <c r="DG194" s="55"/>
      <c r="DH194" s="55"/>
      <c r="DI194" s="55"/>
      <c r="DJ194" s="55"/>
      <c r="DK194" s="55"/>
      <c r="DL194" s="55"/>
      <c r="DM194" s="55"/>
      <c r="OF194" s="55"/>
      <c r="OG194" s="55"/>
      <c r="OH194" s="55"/>
      <c r="OI194" s="55"/>
      <c r="OJ194" s="55"/>
      <c r="OK194" s="55"/>
      <c r="OL194" s="55"/>
      <c r="OM194" s="55"/>
      <c r="ON194" s="55"/>
      <c r="OO194" s="55"/>
      <c r="OP194" s="55"/>
      <c r="OQ194" s="55"/>
      <c r="OR194" s="55"/>
      <c r="OS194" s="55"/>
      <c r="OT194" s="55"/>
      <c r="OU194" s="55"/>
      <c r="OV194" s="55"/>
      <c r="OW194" s="55"/>
      <c r="OX194" s="55"/>
      <c r="OY194" s="55"/>
      <c r="OZ194" s="55"/>
      <c r="PA194" s="55"/>
      <c r="PB194" s="55"/>
      <c r="PC194" s="55"/>
      <c r="PD194" s="55"/>
      <c r="PE194" s="55"/>
      <c r="PF194" s="55"/>
      <c r="PG194" s="55"/>
      <c r="PH194" s="55"/>
      <c r="PJ194" s="55"/>
      <c r="PK194" s="55"/>
      <c r="PL194" s="55"/>
      <c r="PM194" s="55"/>
      <c r="PN194" s="55"/>
      <c r="PO194" s="55"/>
      <c r="PP194" s="55"/>
      <c r="PQ194" s="55"/>
      <c r="PR194" s="55"/>
      <c r="PS194" s="55"/>
      <c r="PT194" s="55"/>
      <c r="PU194" s="55"/>
      <c r="PZ194" s="55"/>
      <c r="QA194" s="55"/>
      <c r="QB194" s="55"/>
      <c r="QC194" s="55"/>
    </row>
    <row r="195" spans="97:445" ht="15" customHeight="1">
      <c r="CS195" s="426"/>
      <c r="CT195" s="426"/>
      <c r="CU195" s="426"/>
      <c r="CV195" s="426"/>
      <c r="CW195" s="426"/>
      <c r="DB195" s="426"/>
      <c r="DC195" s="426"/>
      <c r="DD195" s="426"/>
      <c r="DE195" s="426"/>
      <c r="DG195" s="55"/>
      <c r="DH195" s="55"/>
      <c r="DI195" s="55"/>
      <c r="DJ195" s="55"/>
      <c r="DK195" s="55"/>
      <c r="DL195" s="55"/>
      <c r="DM195" s="55"/>
      <c r="OF195" s="55"/>
      <c r="OG195" s="55"/>
      <c r="OH195" s="55"/>
      <c r="OI195" s="55"/>
      <c r="OJ195" s="55"/>
      <c r="OK195" s="55"/>
      <c r="OL195" s="55"/>
      <c r="OM195" s="55"/>
      <c r="ON195" s="55"/>
      <c r="OO195" s="55"/>
      <c r="OP195" s="55"/>
      <c r="OQ195" s="55"/>
      <c r="OR195" s="55"/>
      <c r="OS195" s="55"/>
      <c r="OT195" s="55"/>
      <c r="OU195" s="55"/>
      <c r="OV195" s="55"/>
      <c r="OW195" s="55"/>
      <c r="OX195" s="55"/>
      <c r="OY195" s="55"/>
      <c r="OZ195" s="55"/>
      <c r="PA195" s="55"/>
      <c r="PB195" s="55"/>
      <c r="PC195" s="55"/>
      <c r="PD195" s="55"/>
      <c r="PE195" s="55"/>
      <c r="PF195" s="55"/>
      <c r="PG195" s="55"/>
      <c r="PH195" s="55"/>
      <c r="PJ195" s="55"/>
      <c r="PK195" s="55"/>
      <c r="PL195" s="55"/>
      <c r="PM195" s="55"/>
      <c r="PN195" s="55"/>
      <c r="PO195" s="55"/>
      <c r="PP195" s="55"/>
      <c r="PQ195" s="55"/>
      <c r="PR195" s="55"/>
      <c r="PS195" s="55"/>
      <c r="PT195" s="55"/>
      <c r="PU195" s="55"/>
      <c r="PZ195" s="55"/>
      <c r="QA195" s="55"/>
      <c r="QB195" s="55"/>
      <c r="QC195" s="55"/>
    </row>
    <row r="196" spans="97:445" ht="15" customHeight="1">
      <c r="CS196" s="426"/>
      <c r="CT196" s="426"/>
      <c r="CU196" s="426"/>
      <c r="CV196" s="426"/>
      <c r="CW196" s="426"/>
      <c r="DB196" s="426"/>
      <c r="DC196" s="426"/>
      <c r="DD196" s="426"/>
      <c r="DE196" s="426"/>
      <c r="DG196" s="55"/>
      <c r="DH196" s="55"/>
      <c r="DI196" s="55"/>
      <c r="DJ196" s="55"/>
      <c r="DK196" s="55"/>
      <c r="DL196" s="55"/>
      <c r="DM196" s="55"/>
      <c r="OF196" s="55"/>
      <c r="OG196" s="55"/>
      <c r="OH196" s="55"/>
      <c r="OI196" s="55"/>
      <c r="OJ196" s="55"/>
      <c r="OK196" s="55"/>
      <c r="OL196" s="55"/>
      <c r="OM196" s="55"/>
      <c r="ON196" s="55"/>
      <c r="OO196" s="55"/>
      <c r="OP196" s="55"/>
      <c r="OQ196" s="55"/>
      <c r="OR196" s="55"/>
      <c r="OS196" s="55"/>
      <c r="OT196" s="55"/>
      <c r="OU196" s="55"/>
      <c r="OV196" s="55"/>
      <c r="OW196" s="55"/>
      <c r="OX196" s="55"/>
      <c r="OY196" s="55"/>
      <c r="OZ196" s="55"/>
      <c r="PA196" s="55"/>
      <c r="PB196" s="55"/>
      <c r="PC196" s="55"/>
      <c r="PD196" s="55"/>
      <c r="PE196" s="55"/>
      <c r="PF196" s="55"/>
      <c r="PG196" s="55"/>
      <c r="PH196" s="55"/>
      <c r="PJ196" s="55"/>
      <c r="PK196" s="55"/>
      <c r="PL196" s="55"/>
      <c r="PM196" s="55"/>
      <c r="PN196" s="55"/>
      <c r="PO196" s="55"/>
      <c r="PP196" s="55"/>
      <c r="PQ196" s="55"/>
      <c r="PR196" s="55"/>
      <c r="PS196" s="55"/>
      <c r="PT196" s="55"/>
      <c r="PU196" s="55"/>
      <c r="PZ196" s="55"/>
      <c r="QA196" s="55"/>
      <c r="QB196" s="55"/>
      <c r="QC196" s="55"/>
    </row>
    <row r="197" spans="97:445" ht="15" customHeight="1">
      <c r="CS197" s="426"/>
      <c r="CT197" s="426"/>
      <c r="CU197" s="426"/>
      <c r="CV197" s="426"/>
      <c r="CW197" s="426"/>
      <c r="DB197" s="426"/>
      <c r="DC197" s="426"/>
      <c r="DD197" s="426"/>
      <c r="DE197" s="426"/>
      <c r="DG197" s="55"/>
      <c r="DH197" s="55"/>
      <c r="DI197" s="55"/>
      <c r="DJ197" s="55"/>
      <c r="DK197" s="55"/>
      <c r="DL197" s="55"/>
      <c r="DM197" s="55"/>
      <c r="OF197" s="55"/>
      <c r="OG197" s="55"/>
      <c r="OH197" s="55"/>
      <c r="OI197" s="55"/>
      <c r="OJ197" s="55"/>
      <c r="OK197" s="55"/>
      <c r="OL197" s="55"/>
      <c r="OM197" s="55"/>
      <c r="ON197" s="55"/>
      <c r="OO197" s="55"/>
      <c r="OP197" s="55"/>
      <c r="OQ197" s="55"/>
      <c r="OR197" s="55"/>
      <c r="OS197" s="55"/>
      <c r="OT197" s="55"/>
      <c r="OU197" s="55"/>
      <c r="OV197" s="55"/>
      <c r="OW197" s="55"/>
      <c r="OX197" s="55"/>
      <c r="OY197" s="55"/>
      <c r="OZ197" s="55"/>
      <c r="PA197" s="55"/>
      <c r="PB197" s="55"/>
      <c r="PC197" s="55"/>
      <c r="PD197" s="55"/>
      <c r="PE197" s="55"/>
      <c r="PF197" s="55"/>
      <c r="PG197" s="55"/>
      <c r="PH197" s="55"/>
      <c r="PJ197" s="55"/>
      <c r="PK197" s="55"/>
      <c r="PL197" s="55"/>
      <c r="PM197" s="55"/>
      <c r="PN197" s="55"/>
      <c r="PO197" s="55"/>
      <c r="PP197" s="55"/>
      <c r="PQ197" s="55"/>
      <c r="PR197" s="55"/>
      <c r="PS197" s="55"/>
      <c r="PT197" s="55"/>
      <c r="PU197" s="55"/>
      <c r="PZ197" s="55"/>
      <c r="QA197" s="55"/>
      <c r="QB197" s="55"/>
      <c r="QC197" s="55"/>
    </row>
    <row r="198" spans="97:445" ht="15" customHeight="1">
      <c r="CS198" s="426"/>
      <c r="CT198" s="426"/>
      <c r="CU198" s="426"/>
      <c r="CV198" s="426"/>
      <c r="CW198" s="426"/>
      <c r="DB198" s="426"/>
      <c r="DC198" s="426"/>
      <c r="DD198" s="426"/>
      <c r="DE198" s="426"/>
      <c r="DG198" s="55"/>
      <c r="DH198" s="55"/>
      <c r="DI198" s="55"/>
      <c r="DJ198" s="55"/>
      <c r="DK198" s="55"/>
      <c r="DL198" s="55"/>
      <c r="DM198" s="55"/>
      <c r="OF198" s="55"/>
      <c r="OG198" s="55"/>
      <c r="OH198" s="55"/>
      <c r="OI198" s="55"/>
      <c r="OJ198" s="55"/>
      <c r="OK198" s="55"/>
      <c r="OL198" s="55"/>
      <c r="OM198" s="55"/>
      <c r="ON198" s="55"/>
      <c r="OO198" s="55"/>
      <c r="OP198" s="55"/>
      <c r="OQ198" s="55"/>
      <c r="OR198" s="55"/>
      <c r="OS198" s="55"/>
      <c r="OT198" s="55"/>
      <c r="OU198" s="55"/>
      <c r="OV198" s="55"/>
      <c r="OW198" s="55"/>
      <c r="OX198" s="55"/>
      <c r="OY198" s="55"/>
      <c r="OZ198" s="55"/>
      <c r="PA198" s="55"/>
      <c r="PB198" s="55"/>
      <c r="PC198" s="55"/>
      <c r="PD198" s="55"/>
      <c r="PE198" s="55"/>
      <c r="PF198" s="55"/>
      <c r="PG198" s="55"/>
      <c r="PH198" s="55"/>
      <c r="PJ198" s="55"/>
      <c r="PK198" s="55"/>
      <c r="PL198" s="55"/>
      <c r="PM198" s="55"/>
      <c r="PN198" s="55"/>
      <c r="PO198" s="55"/>
      <c r="PP198" s="55"/>
      <c r="PQ198" s="55"/>
      <c r="PR198" s="55"/>
      <c r="PS198" s="55"/>
      <c r="PT198" s="55"/>
      <c r="PU198" s="55"/>
      <c r="PZ198" s="55"/>
      <c r="QA198" s="55"/>
      <c r="QB198" s="55"/>
      <c r="QC198" s="55"/>
    </row>
    <row r="199" spans="97:445" ht="15" customHeight="1">
      <c r="CS199" s="426"/>
      <c r="CT199" s="426"/>
      <c r="CU199" s="426"/>
      <c r="CV199" s="426"/>
      <c r="CW199" s="426"/>
      <c r="DB199" s="426"/>
      <c r="DC199" s="426"/>
      <c r="DD199" s="426"/>
      <c r="DE199" s="426"/>
      <c r="DG199" s="55"/>
      <c r="DH199" s="55"/>
      <c r="DI199" s="55"/>
      <c r="DJ199" s="55"/>
      <c r="DK199" s="55"/>
      <c r="DL199" s="55"/>
      <c r="DM199" s="55"/>
      <c r="OF199" s="55"/>
      <c r="OG199" s="55"/>
      <c r="OH199" s="55"/>
      <c r="OI199" s="55"/>
      <c r="OJ199" s="55"/>
      <c r="OK199" s="55"/>
      <c r="OL199" s="55"/>
      <c r="OM199" s="55"/>
      <c r="ON199" s="55"/>
      <c r="OO199" s="55"/>
      <c r="OP199" s="55"/>
      <c r="OQ199" s="55"/>
      <c r="OR199" s="55"/>
      <c r="OS199" s="55"/>
      <c r="OT199" s="55"/>
      <c r="OU199" s="55"/>
      <c r="OV199" s="55"/>
      <c r="OW199" s="55"/>
      <c r="OX199" s="55"/>
      <c r="OY199" s="55"/>
      <c r="OZ199" s="55"/>
      <c r="PA199" s="55"/>
      <c r="PB199" s="55"/>
      <c r="PC199" s="55"/>
      <c r="PD199" s="55"/>
      <c r="PE199" s="55"/>
      <c r="PF199" s="55"/>
      <c r="PG199" s="55"/>
      <c r="PH199" s="55"/>
      <c r="PJ199" s="55"/>
      <c r="PK199" s="55"/>
      <c r="PL199" s="55"/>
      <c r="PM199" s="55"/>
      <c r="PN199" s="55"/>
      <c r="PO199" s="55"/>
      <c r="PP199" s="55"/>
      <c r="PQ199" s="55"/>
      <c r="PR199" s="55"/>
      <c r="PS199" s="55"/>
      <c r="PT199" s="55"/>
      <c r="PU199" s="55"/>
      <c r="PZ199" s="55"/>
      <c r="QA199" s="55"/>
      <c r="QB199" s="55"/>
      <c r="QC199" s="55"/>
    </row>
    <row r="200" spans="97:445" ht="15" customHeight="1">
      <c r="CS200" s="426"/>
      <c r="CT200" s="426"/>
      <c r="CU200" s="426"/>
      <c r="CV200" s="426"/>
      <c r="CW200" s="426"/>
      <c r="DB200" s="426"/>
      <c r="DC200" s="426"/>
      <c r="DD200" s="426"/>
      <c r="DE200" s="426"/>
      <c r="DG200" s="55"/>
      <c r="DH200" s="55"/>
      <c r="DI200" s="55"/>
      <c r="DJ200" s="55"/>
      <c r="DK200" s="55"/>
      <c r="DL200" s="55"/>
      <c r="DM200" s="55"/>
      <c r="OF200" s="55"/>
      <c r="OG200" s="55"/>
      <c r="OH200" s="55"/>
      <c r="OI200" s="55"/>
      <c r="OJ200" s="55"/>
      <c r="OK200" s="55"/>
      <c r="OL200" s="55"/>
      <c r="OM200" s="55"/>
      <c r="ON200" s="55"/>
      <c r="OO200" s="55"/>
      <c r="OP200" s="55"/>
      <c r="OQ200" s="55"/>
      <c r="OR200" s="55"/>
      <c r="OS200" s="55"/>
      <c r="OT200" s="55"/>
      <c r="OU200" s="55"/>
      <c r="OV200" s="55"/>
      <c r="OW200" s="55"/>
      <c r="OX200" s="55"/>
      <c r="OY200" s="55"/>
      <c r="OZ200" s="55"/>
      <c r="PA200" s="55"/>
      <c r="PB200" s="55"/>
      <c r="PC200" s="55"/>
      <c r="PD200" s="55"/>
      <c r="PE200" s="55"/>
      <c r="PF200" s="55"/>
      <c r="PG200" s="55"/>
      <c r="PH200" s="55"/>
      <c r="PJ200" s="55"/>
      <c r="PK200" s="55"/>
      <c r="PL200" s="55"/>
      <c r="PM200" s="55"/>
      <c r="PN200" s="55"/>
      <c r="PO200" s="55"/>
      <c r="PP200" s="55"/>
      <c r="PQ200" s="55"/>
      <c r="PR200" s="55"/>
      <c r="PS200" s="55"/>
      <c r="PT200" s="55"/>
      <c r="PU200" s="55"/>
      <c r="PZ200" s="55"/>
      <c r="QA200" s="55"/>
      <c r="QB200" s="55"/>
      <c r="QC200" s="55"/>
    </row>
    <row r="201" spans="97:445" ht="15" customHeight="1">
      <c r="CS201" s="426"/>
      <c r="CT201" s="426"/>
      <c r="CU201" s="426"/>
      <c r="CV201" s="426"/>
      <c r="CW201" s="426"/>
      <c r="DB201" s="426"/>
      <c r="DC201" s="426"/>
      <c r="DD201" s="426"/>
      <c r="DE201" s="426"/>
      <c r="DG201" s="55"/>
      <c r="DH201" s="55"/>
      <c r="DI201" s="55"/>
      <c r="DJ201" s="55"/>
      <c r="DK201" s="55"/>
      <c r="DL201" s="55"/>
      <c r="DM201" s="55"/>
      <c r="OF201" s="55"/>
      <c r="OG201" s="55"/>
      <c r="OH201" s="55"/>
      <c r="OI201" s="55"/>
      <c r="OJ201" s="55"/>
      <c r="OK201" s="55"/>
      <c r="OL201" s="55"/>
      <c r="OM201" s="55"/>
      <c r="ON201" s="55"/>
      <c r="OO201" s="55"/>
      <c r="OP201" s="55"/>
      <c r="OQ201" s="55"/>
      <c r="OR201" s="55"/>
      <c r="OS201" s="55"/>
      <c r="OT201" s="55"/>
      <c r="OU201" s="55"/>
      <c r="OV201" s="55"/>
      <c r="OW201" s="55"/>
      <c r="OX201" s="55"/>
      <c r="OY201" s="55"/>
      <c r="OZ201" s="55"/>
      <c r="PA201" s="55"/>
      <c r="PB201" s="55"/>
      <c r="PC201" s="55"/>
      <c r="PD201" s="55"/>
      <c r="PE201" s="55"/>
      <c r="PF201" s="55"/>
      <c r="PG201" s="55"/>
      <c r="PH201" s="55"/>
      <c r="PJ201" s="55"/>
      <c r="PK201" s="55"/>
      <c r="PL201" s="55"/>
      <c r="PM201" s="55"/>
      <c r="PN201" s="55"/>
      <c r="PO201" s="55"/>
      <c r="PP201" s="55"/>
      <c r="PQ201" s="55"/>
      <c r="PR201" s="55"/>
      <c r="PS201" s="55"/>
      <c r="PT201" s="55"/>
      <c r="PU201" s="55"/>
      <c r="PZ201" s="55"/>
      <c r="QA201" s="55"/>
      <c r="QB201" s="55"/>
      <c r="QC201" s="55"/>
    </row>
    <row r="202" spans="97:445" ht="15" customHeight="1">
      <c r="CS202" s="426"/>
      <c r="CT202" s="426"/>
      <c r="CU202" s="426"/>
      <c r="CV202" s="426"/>
      <c r="CW202" s="426"/>
      <c r="DB202" s="426"/>
      <c r="DC202" s="426"/>
      <c r="DD202" s="426"/>
      <c r="DE202" s="426"/>
      <c r="DG202" s="55"/>
      <c r="DH202" s="55"/>
      <c r="DI202" s="55"/>
      <c r="DJ202" s="55"/>
      <c r="DK202" s="55"/>
      <c r="DL202" s="55"/>
      <c r="DM202" s="55"/>
      <c r="OF202" s="55"/>
      <c r="OG202" s="55"/>
      <c r="OH202" s="55"/>
      <c r="OI202" s="55"/>
      <c r="OJ202" s="55"/>
      <c r="OK202" s="55"/>
      <c r="OL202" s="55"/>
      <c r="OM202" s="55"/>
      <c r="ON202" s="55"/>
      <c r="OO202" s="55"/>
      <c r="OP202" s="55"/>
      <c r="OQ202" s="55"/>
      <c r="OR202" s="55"/>
      <c r="OS202" s="55"/>
      <c r="OT202" s="55"/>
      <c r="OU202" s="55"/>
      <c r="OV202" s="55"/>
      <c r="OW202" s="55"/>
      <c r="OX202" s="55"/>
      <c r="OY202" s="55"/>
      <c r="OZ202" s="55"/>
      <c r="PA202" s="55"/>
      <c r="PB202" s="55"/>
      <c r="PC202" s="55"/>
      <c r="PD202" s="55"/>
      <c r="PE202" s="55"/>
      <c r="PF202" s="55"/>
      <c r="PG202" s="55"/>
      <c r="PH202" s="55"/>
      <c r="PJ202" s="55"/>
      <c r="PK202" s="55"/>
      <c r="PL202" s="55"/>
      <c r="PM202" s="55"/>
      <c r="PN202" s="55"/>
      <c r="PO202" s="55"/>
      <c r="PP202" s="55"/>
      <c r="PQ202" s="55"/>
      <c r="PR202" s="55"/>
      <c r="PS202" s="55"/>
      <c r="PT202" s="55"/>
      <c r="PU202" s="55"/>
      <c r="PZ202" s="55"/>
      <c r="QA202" s="55"/>
      <c r="QB202" s="55"/>
      <c r="QC202" s="55"/>
    </row>
    <row r="203" spans="97:445" ht="15" customHeight="1">
      <c r="CS203" s="426"/>
      <c r="CT203" s="426"/>
      <c r="CU203" s="426"/>
      <c r="CV203" s="426"/>
      <c r="CW203" s="426"/>
      <c r="DB203" s="426"/>
      <c r="DC203" s="426"/>
      <c r="DD203" s="426"/>
      <c r="DE203" s="426"/>
      <c r="DG203" s="55"/>
      <c r="DH203" s="55"/>
      <c r="DI203" s="55"/>
      <c r="DJ203" s="55"/>
      <c r="DK203" s="55"/>
      <c r="DL203" s="55"/>
      <c r="DM203" s="55"/>
      <c r="OF203" s="55"/>
      <c r="OG203" s="55"/>
      <c r="OH203" s="55"/>
      <c r="OI203" s="55"/>
      <c r="OJ203" s="55"/>
      <c r="OK203" s="55"/>
      <c r="OL203" s="55"/>
      <c r="OM203" s="55"/>
      <c r="ON203" s="55"/>
      <c r="OO203" s="55"/>
      <c r="OP203" s="55"/>
      <c r="OQ203" s="55"/>
      <c r="OR203" s="55"/>
      <c r="OS203" s="55"/>
      <c r="OT203" s="55"/>
      <c r="OU203" s="55"/>
      <c r="OV203" s="55"/>
      <c r="OW203" s="55"/>
      <c r="OX203" s="55"/>
      <c r="OY203" s="55"/>
      <c r="OZ203" s="55"/>
      <c r="PA203" s="55"/>
      <c r="PB203" s="55"/>
      <c r="PC203" s="55"/>
      <c r="PD203" s="55"/>
      <c r="PE203" s="55"/>
      <c r="PF203" s="55"/>
      <c r="PG203" s="55"/>
      <c r="PH203" s="55"/>
      <c r="PJ203" s="55"/>
      <c r="PK203" s="55"/>
      <c r="PL203" s="55"/>
      <c r="PM203" s="55"/>
      <c r="PN203" s="55"/>
      <c r="PO203" s="55"/>
      <c r="PP203" s="55"/>
      <c r="PQ203" s="55"/>
      <c r="PR203" s="55"/>
      <c r="PS203" s="55"/>
      <c r="PT203" s="55"/>
      <c r="PU203" s="55"/>
      <c r="PZ203" s="55"/>
      <c r="QA203" s="55"/>
      <c r="QB203" s="55"/>
      <c r="QC203" s="55"/>
    </row>
    <row r="204" spans="97:445" ht="15" customHeight="1">
      <c r="CS204" s="426"/>
      <c r="CT204" s="426"/>
      <c r="CU204" s="426"/>
      <c r="CV204" s="426"/>
      <c r="CW204" s="426"/>
      <c r="DB204" s="426"/>
      <c r="DC204" s="426"/>
      <c r="DD204" s="426"/>
      <c r="DE204" s="426"/>
      <c r="DG204" s="55"/>
      <c r="DH204" s="55"/>
      <c r="DI204" s="55"/>
      <c r="DJ204" s="55"/>
      <c r="DK204" s="55"/>
      <c r="DL204" s="55"/>
      <c r="DM204" s="55"/>
      <c r="OF204" s="55"/>
      <c r="OG204" s="55"/>
      <c r="OH204" s="55"/>
      <c r="OI204" s="55"/>
      <c r="OJ204" s="55"/>
      <c r="OK204" s="55"/>
      <c r="OL204" s="55"/>
      <c r="OM204" s="55"/>
      <c r="ON204" s="55"/>
      <c r="OO204" s="55"/>
      <c r="OP204" s="55"/>
      <c r="OQ204" s="55"/>
      <c r="OR204" s="55"/>
      <c r="OS204" s="55"/>
      <c r="OT204" s="55"/>
      <c r="OU204" s="55"/>
      <c r="OV204" s="55"/>
      <c r="OW204" s="55"/>
      <c r="OX204" s="55"/>
      <c r="OY204" s="55"/>
      <c r="OZ204" s="55"/>
      <c r="PA204" s="55"/>
      <c r="PB204" s="55"/>
      <c r="PC204" s="55"/>
      <c r="PD204" s="55"/>
      <c r="PE204" s="55"/>
      <c r="PF204" s="55"/>
      <c r="PG204" s="55"/>
      <c r="PH204" s="55"/>
      <c r="PJ204" s="55"/>
      <c r="PK204" s="55"/>
      <c r="PL204" s="55"/>
      <c r="PM204" s="55"/>
      <c r="PN204" s="55"/>
      <c r="PO204" s="55"/>
      <c r="PP204" s="55"/>
      <c r="PQ204" s="55"/>
      <c r="PR204" s="55"/>
      <c r="PS204" s="55"/>
      <c r="PT204" s="55"/>
      <c r="PU204" s="55"/>
      <c r="PZ204" s="55"/>
      <c r="QA204" s="55"/>
      <c r="QB204" s="55"/>
      <c r="QC204" s="55"/>
    </row>
    <row r="205" spans="97:445" ht="15" customHeight="1">
      <c r="CS205" s="426"/>
      <c r="CT205" s="426"/>
      <c r="CU205" s="426"/>
      <c r="CV205" s="426"/>
      <c r="CW205" s="426"/>
      <c r="DB205" s="426"/>
      <c r="DC205" s="426"/>
      <c r="DD205" s="426"/>
      <c r="DE205" s="426"/>
      <c r="DG205" s="55"/>
      <c r="DH205" s="55"/>
      <c r="DI205" s="55"/>
      <c r="DJ205" s="55"/>
      <c r="DK205" s="55"/>
      <c r="DL205" s="55"/>
      <c r="DM205" s="55"/>
      <c r="OF205" s="55"/>
      <c r="OG205" s="55"/>
      <c r="OH205" s="55"/>
      <c r="OI205" s="55"/>
      <c r="OJ205" s="55"/>
      <c r="OK205" s="55"/>
      <c r="OL205" s="55"/>
      <c r="OM205" s="55"/>
      <c r="ON205" s="55"/>
      <c r="OO205" s="55"/>
      <c r="OP205" s="55"/>
      <c r="OQ205" s="55"/>
      <c r="OR205" s="55"/>
      <c r="OS205" s="55"/>
      <c r="OT205" s="55"/>
      <c r="OU205" s="55"/>
      <c r="OV205" s="55"/>
      <c r="OW205" s="55"/>
      <c r="OX205" s="55"/>
      <c r="OY205" s="55"/>
      <c r="OZ205" s="55"/>
      <c r="PA205" s="55"/>
      <c r="PB205" s="55"/>
      <c r="PC205" s="55"/>
      <c r="PD205" s="55"/>
      <c r="PE205" s="55"/>
      <c r="PF205" s="55"/>
      <c r="PG205" s="55"/>
      <c r="PH205" s="55"/>
      <c r="PJ205" s="55"/>
      <c r="PK205" s="55"/>
      <c r="PL205" s="55"/>
      <c r="PM205" s="55"/>
      <c r="PN205" s="55"/>
      <c r="PO205" s="55"/>
      <c r="PP205" s="55"/>
      <c r="PQ205" s="55"/>
      <c r="PR205" s="55"/>
      <c r="PS205" s="55"/>
      <c r="PT205" s="55"/>
      <c r="PU205" s="55"/>
      <c r="PZ205" s="55"/>
      <c r="QA205" s="55"/>
      <c r="QB205" s="55"/>
      <c r="QC205" s="55"/>
    </row>
    <row r="206" spans="97:445" ht="15" customHeight="1">
      <c r="CS206" s="426"/>
      <c r="CT206" s="426"/>
      <c r="CU206" s="426"/>
      <c r="CV206" s="426"/>
      <c r="CW206" s="426"/>
      <c r="DB206" s="426"/>
      <c r="DC206" s="426"/>
      <c r="DD206" s="426"/>
      <c r="DE206" s="426"/>
      <c r="DG206" s="55"/>
      <c r="DH206" s="55"/>
      <c r="DI206" s="55"/>
      <c r="DJ206" s="55"/>
      <c r="DK206" s="55"/>
      <c r="DL206" s="55"/>
      <c r="DM206" s="55"/>
      <c r="OF206" s="55"/>
      <c r="OG206" s="55"/>
      <c r="OH206" s="55"/>
      <c r="OI206" s="55"/>
      <c r="OJ206" s="55"/>
      <c r="OK206" s="55"/>
      <c r="OL206" s="55"/>
      <c r="OM206" s="55"/>
      <c r="ON206" s="55"/>
      <c r="OO206" s="55"/>
      <c r="OP206" s="55"/>
      <c r="OQ206" s="55"/>
      <c r="OR206" s="55"/>
      <c r="OS206" s="55"/>
      <c r="OT206" s="55"/>
      <c r="OU206" s="55"/>
      <c r="OV206" s="55"/>
      <c r="OW206" s="55"/>
      <c r="OX206" s="55"/>
      <c r="OY206" s="55"/>
      <c r="OZ206" s="55"/>
      <c r="PA206" s="55"/>
      <c r="PB206" s="55"/>
      <c r="PC206" s="55"/>
      <c r="PD206" s="55"/>
      <c r="PE206" s="55"/>
      <c r="PF206" s="55"/>
      <c r="PG206" s="55"/>
      <c r="PH206" s="55"/>
      <c r="PJ206" s="55"/>
      <c r="PK206" s="55"/>
      <c r="PL206" s="55"/>
      <c r="PM206" s="55"/>
      <c r="PN206" s="55"/>
      <c r="PO206" s="55"/>
      <c r="PP206" s="55"/>
      <c r="PQ206" s="55"/>
      <c r="PR206" s="55"/>
      <c r="PS206" s="55"/>
      <c r="PT206" s="55"/>
      <c r="PU206" s="55"/>
      <c r="PZ206" s="55"/>
      <c r="QA206" s="55"/>
      <c r="QB206" s="55"/>
      <c r="QC206" s="55"/>
    </row>
    <row r="207" spans="97:445" ht="15" customHeight="1">
      <c r="CS207" s="426"/>
      <c r="CT207" s="426"/>
      <c r="CU207" s="426"/>
      <c r="CV207" s="426"/>
      <c r="CW207" s="426"/>
      <c r="DB207" s="426"/>
      <c r="DC207" s="426"/>
      <c r="DD207" s="426"/>
      <c r="DE207" s="426"/>
      <c r="DG207" s="55"/>
      <c r="DH207" s="55"/>
      <c r="DI207" s="55"/>
      <c r="DJ207" s="55"/>
      <c r="DK207" s="55"/>
      <c r="DL207" s="55"/>
      <c r="DM207" s="55"/>
      <c r="OF207" s="55"/>
      <c r="OG207" s="55"/>
      <c r="OH207" s="55"/>
      <c r="OI207" s="55"/>
      <c r="OJ207" s="55"/>
      <c r="OK207" s="55"/>
      <c r="OL207" s="55"/>
      <c r="OM207" s="55"/>
      <c r="ON207" s="55"/>
      <c r="OO207" s="55"/>
      <c r="OP207" s="55"/>
      <c r="OQ207" s="55"/>
      <c r="OR207" s="55"/>
      <c r="OS207" s="55"/>
      <c r="OT207" s="55"/>
      <c r="OU207" s="55"/>
      <c r="OV207" s="55"/>
      <c r="OW207" s="55"/>
      <c r="OX207" s="55"/>
      <c r="OY207" s="55"/>
      <c r="OZ207" s="55"/>
      <c r="PA207" s="55"/>
      <c r="PB207" s="55"/>
      <c r="PC207" s="55"/>
      <c r="PD207" s="55"/>
      <c r="PE207" s="55"/>
      <c r="PF207" s="55"/>
      <c r="PG207" s="55"/>
      <c r="PH207" s="55"/>
      <c r="PJ207" s="55"/>
      <c r="PK207" s="55"/>
      <c r="PL207" s="55"/>
      <c r="PM207" s="55"/>
      <c r="PN207" s="55"/>
      <c r="PO207" s="55"/>
      <c r="PP207" s="55"/>
      <c r="PQ207" s="55"/>
      <c r="PR207" s="55"/>
      <c r="PS207" s="55"/>
      <c r="PT207" s="55"/>
      <c r="PU207" s="55"/>
      <c r="PZ207" s="55"/>
      <c r="QA207" s="55"/>
      <c r="QB207" s="55"/>
      <c r="QC207" s="55"/>
    </row>
    <row r="208" spans="97:445" ht="15" customHeight="1">
      <c r="CS208" s="426"/>
      <c r="CT208" s="426"/>
      <c r="CU208" s="426"/>
      <c r="CV208" s="426"/>
      <c r="CW208" s="426"/>
      <c r="DB208" s="426"/>
      <c r="DC208" s="426"/>
      <c r="DD208" s="426"/>
      <c r="DE208" s="426"/>
      <c r="DG208" s="55"/>
      <c r="DH208" s="55"/>
      <c r="DI208" s="55"/>
      <c r="DJ208" s="55"/>
      <c r="DK208" s="55"/>
      <c r="DL208" s="55"/>
      <c r="DM208" s="55"/>
    </row>
    <row r="209" spans="97:117" ht="15" customHeight="1">
      <c r="CS209" s="426"/>
      <c r="CT209" s="426"/>
      <c r="CU209" s="426"/>
      <c r="CV209" s="426"/>
      <c r="CW209" s="426"/>
      <c r="DB209" s="426"/>
      <c r="DC209" s="426"/>
      <c r="DD209" s="426"/>
      <c r="DE209" s="426"/>
      <c r="DG209" s="55"/>
      <c r="DH209" s="55"/>
      <c r="DI209" s="55"/>
      <c r="DJ209" s="55"/>
      <c r="DK209" s="55"/>
      <c r="DL209" s="55"/>
      <c r="DM209" s="55"/>
    </row>
    <row r="210" spans="97:117" ht="15" customHeight="1">
      <c r="CS210" s="426"/>
      <c r="CT210" s="426"/>
      <c r="CU210" s="426"/>
      <c r="CV210" s="426"/>
      <c r="CW210" s="426"/>
      <c r="DB210" s="426"/>
      <c r="DC210" s="426"/>
      <c r="DD210" s="426"/>
      <c r="DE210" s="426"/>
      <c r="DG210" s="55"/>
      <c r="DH210" s="55"/>
      <c r="DI210" s="55"/>
      <c r="DJ210" s="55"/>
      <c r="DK210" s="55"/>
      <c r="DL210" s="55"/>
      <c r="DM210" s="55"/>
    </row>
    <row r="211" spans="97:117" ht="15" customHeight="1">
      <c r="CS211" s="426"/>
      <c r="CT211" s="426"/>
      <c r="CU211" s="426"/>
      <c r="CV211" s="426"/>
      <c r="CW211" s="426"/>
      <c r="DB211" s="426"/>
      <c r="DC211" s="426"/>
      <c r="DD211" s="426"/>
      <c r="DE211" s="426"/>
      <c r="DG211" s="55"/>
      <c r="DH211" s="55"/>
      <c r="DI211" s="55"/>
      <c r="DJ211" s="55"/>
      <c r="DK211" s="55"/>
      <c r="DL211" s="55"/>
      <c r="DM211" s="55"/>
    </row>
    <row r="212" spans="97:117" ht="15" customHeight="1">
      <c r="CS212" s="426"/>
      <c r="CT212" s="426"/>
      <c r="CU212" s="426"/>
      <c r="CV212" s="426"/>
      <c r="CW212" s="426"/>
      <c r="CX212" s="426"/>
      <c r="CY212" s="426"/>
      <c r="CZ212" s="426"/>
      <c r="DA212" s="426"/>
      <c r="DB212" s="426"/>
      <c r="DC212" s="426"/>
      <c r="DD212" s="426"/>
      <c r="DE212" s="426"/>
      <c r="DG212" s="55"/>
      <c r="DH212" s="55"/>
      <c r="DI212" s="55"/>
      <c r="DJ212" s="55"/>
      <c r="DK212" s="55"/>
      <c r="DL212" s="55"/>
      <c r="DM212" s="55"/>
    </row>
    <row r="213" spans="97:117" ht="15" customHeight="1">
      <c r="CS213" s="426"/>
      <c r="CT213" s="426"/>
      <c r="CU213" s="426"/>
      <c r="CV213" s="426"/>
      <c r="CW213" s="426"/>
      <c r="CX213" s="426"/>
      <c r="CY213" s="426"/>
      <c r="CZ213" s="426"/>
      <c r="DA213" s="426"/>
      <c r="DB213" s="426"/>
      <c r="DC213" s="426"/>
      <c r="DD213" s="426"/>
      <c r="DE213" s="426"/>
      <c r="DG213" s="55"/>
      <c r="DH213" s="55"/>
      <c r="DI213" s="55"/>
      <c r="DJ213" s="55"/>
      <c r="DK213" s="55"/>
      <c r="DL213" s="55"/>
      <c r="DM213" s="55"/>
    </row>
    <row r="214" spans="97:117" ht="15" customHeight="1">
      <c r="CS214" s="426"/>
      <c r="CT214" s="426"/>
      <c r="CU214" s="426"/>
      <c r="CV214" s="426"/>
      <c r="CW214" s="426"/>
      <c r="CX214" s="426"/>
      <c r="CY214" s="426"/>
      <c r="CZ214" s="426"/>
      <c r="DA214" s="426"/>
      <c r="DB214" s="426"/>
      <c r="DC214" s="426"/>
      <c r="DD214" s="426"/>
      <c r="DE214" s="426"/>
      <c r="DG214" s="55"/>
      <c r="DH214" s="55"/>
      <c r="DI214" s="55"/>
      <c r="DJ214" s="55"/>
      <c r="DK214" s="55"/>
      <c r="DL214" s="55"/>
      <c r="DM214" s="55"/>
    </row>
    <row r="215" spans="97:117" ht="15" customHeight="1">
      <c r="CS215" s="426"/>
      <c r="CT215" s="426"/>
      <c r="CU215" s="426"/>
      <c r="CV215" s="426"/>
      <c r="CW215" s="426"/>
      <c r="CX215" s="426"/>
      <c r="CY215" s="426"/>
      <c r="CZ215" s="426"/>
      <c r="DA215" s="426"/>
      <c r="DB215" s="426"/>
      <c r="DC215" s="426"/>
      <c r="DD215" s="426"/>
      <c r="DE215" s="426"/>
      <c r="DG215" s="55"/>
      <c r="DH215" s="55"/>
      <c r="DI215" s="55"/>
      <c r="DJ215" s="55"/>
      <c r="DK215" s="55"/>
      <c r="DL215" s="55"/>
      <c r="DM215" s="55"/>
    </row>
    <row r="216" spans="97:117" ht="15" customHeight="1">
      <c r="CS216" s="426"/>
      <c r="CT216" s="426"/>
      <c r="CU216" s="426"/>
      <c r="CV216" s="426"/>
      <c r="CW216" s="426"/>
      <c r="CX216" s="426"/>
      <c r="CY216" s="426"/>
      <c r="CZ216" s="426"/>
      <c r="DA216" s="426"/>
      <c r="DB216" s="426"/>
      <c r="DC216" s="426"/>
      <c r="DD216" s="426"/>
      <c r="DE216" s="426"/>
      <c r="DG216" s="55"/>
      <c r="DH216" s="55"/>
      <c r="DI216" s="55"/>
      <c r="DJ216" s="55"/>
      <c r="DK216" s="55"/>
      <c r="DL216" s="55"/>
      <c r="DM216" s="55"/>
    </row>
    <row r="217" spans="97:117" ht="15" customHeight="1">
      <c r="CS217" s="426"/>
      <c r="CT217" s="426"/>
      <c r="CU217" s="426"/>
      <c r="CV217" s="426"/>
      <c r="CW217" s="426"/>
      <c r="CX217" s="426"/>
      <c r="CY217" s="426"/>
      <c r="CZ217" s="426"/>
      <c r="DA217" s="426"/>
      <c r="DB217" s="426"/>
      <c r="DC217" s="426"/>
      <c r="DD217" s="426"/>
      <c r="DE217" s="426"/>
      <c r="DG217" s="55"/>
      <c r="DH217" s="55"/>
      <c r="DI217" s="55"/>
      <c r="DJ217" s="55"/>
      <c r="DK217" s="55"/>
      <c r="DL217" s="55"/>
      <c r="DM217" s="55"/>
    </row>
    <row r="218" spans="97:117" ht="15" customHeight="1">
      <c r="CS218" s="426"/>
      <c r="CT218" s="426"/>
      <c r="CU218" s="426"/>
      <c r="CV218" s="426"/>
      <c r="CW218" s="426"/>
      <c r="CX218" s="426"/>
      <c r="CY218" s="426"/>
      <c r="CZ218" s="426"/>
      <c r="DA218" s="426"/>
      <c r="DB218" s="426"/>
      <c r="DC218" s="426"/>
      <c r="DD218" s="426"/>
      <c r="DE218" s="426"/>
      <c r="DG218" s="55"/>
      <c r="DH218" s="55"/>
      <c r="DI218" s="55"/>
      <c r="DJ218" s="55"/>
      <c r="DK218" s="55"/>
      <c r="DL218" s="55"/>
      <c r="DM218" s="55"/>
    </row>
    <row r="219" spans="97:117" ht="15" customHeight="1">
      <c r="CS219" s="426"/>
      <c r="CT219" s="426"/>
      <c r="CU219" s="426"/>
      <c r="CV219" s="426"/>
      <c r="CW219" s="426"/>
      <c r="CX219" s="426"/>
      <c r="CY219" s="426"/>
      <c r="CZ219" s="426"/>
      <c r="DA219" s="426"/>
      <c r="DB219" s="426"/>
      <c r="DC219" s="426"/>
      <c r="DD219" s="426"/>
      <c r="DE219" s="426"/>
      <c r="DG219" s="55"/>
      <c r="DH219" s="55"/>
      <c r="DI219" s="55"/>
      <c r="DJ219" s="55"/>
      <c r="DK219" s="55"/>
      <c r="DL219" s="55"/>
      <c r="DM219" s="55"/>
    </row>
    <row r="220" spans="97:117" ht="15" customHeight="1">
      <c r="CS220" s="426"/>
      <c r="CT220" s="426"/>
      <c r="CU220" s="426"/>
      <c r="CV220" s="426"/>
      <c r="CW220" s="426"/>
      <c r="CX220" s="426"/>
      <c r="CY220" s="426"/>
      <c r="CZ220" s="426"/>
      <c r="DA220" s="426"/>
      <c r="DB220" s="426"/>
      <c r="DC220" s="426"/>
      <c r="DD220" s="426"/>
      <c r="DE220" s="426"/>
      <c r="DG220" s="55"/>
      <c r="DH220" s="55"/>
      <c r="DI220" s="55"/>
      <c r="DJ220" s="55"/>
      <c r="DK220" s="55"/>
      <c r="DL220" s="55"/>
      <c r="DM220" s="55"/>
    </row>
    <row r="221" spans="97:117" ht="15" customHeight="1">
      <c r="CS221" s="426"/>
      <c r="CT221" s="426"/>
      <c r="CU221" s="426"/>
      <c r="CV221" s="426"/>
      <c r="CW221" s="426"/>
      <c r="CX221" s="426"/>
      <c r="CY221" s="426"/>
      <c r="CZ221" s="426"/>
      <c r="DA221" s="426"/>
      <c r="DB221" s="426"/>
      <c r="DC221" s="426"/>
      <c r="DD221" s="426"/>
      <c r="DE221" s="426"/>
      <c r="DG221" s="55"/>
      <c r="DH221" s="55"/>
      <c r="DI221" s="55"/>
      <c r="DJ221" s="55"/>
      <c r="DK221" s="55"/>
      <c r="DL221" s="55"/>
      <c r="DM221" s="55"/>
    </row>
    <row r="222" spans="97:117" ht="15" customHeight="1">
      <c r="CS222" s="426"/>
      <c r="CT222" s="426"/>
      <c r="CU222" s="426"/>
      <c r="CV222" s="426"/>
      <c r="CW222" s="426"/>
      <c r="CX222" s="426"/>
      <c r="CY222" s="426"/>
      <c r="CZ222" s="426"/>
      <c r="DA222" s="426"/>
      <c r="DB222" s="426"/>
      <c r="DC222" s="426"/>
      <c r="DD222" s="426"/>
      <c r="DE222" s="426"/>
      <c r="DG222" s="55"/>
      <c r="DH222" s="55"/>
      <c r="DI222" s="55"/>
      <c r="DJ222" s="55"/>
      <c r="DK222" s="55"/>
      <c r="DL222" s="55"/>
      <c r="DM222" s="55"/>
    </row>
    <row r="223" spans="97:117" ht="15" customHeight="1">
      <c r="CS223" s="426"/>
      <c r="CT223" s="426"/>
      <c r="CU223" s="426"/>
      <c r="CV223" s="426"/>
      <c r="CW223" s="426"/>
      <c r="CX223" s="426"/>
      <c r="CY223" s="426"/>
      <c r="CZ223" s="426"/>
      <c r="DA223" s="426"/>
      <c r="DB223" s="426"/>
      <c r="DC223" s="426"/>
      <c r="DD223" s="426"/>
      <c r="DE223" s="426"/>
      <c r="DG223" s="55"/>
      <c r="DH223" s="55"/>
      <c r="DI223" s="55"/>
      <c r="DJ223" s="55"/>
      <c r="DK223" s="55"/>
      <c r="DL223" s="55"/>
      <c r="DM223" s="55"/>
    </row>
    <row r="224" spans="97:117">
      <c r="CS224" s="426"/>
      <c r="CT224" s="426"/>
      <c r="CU224" s="426"/>
      <c r="CV224" s="426"/>
      <c r="CW224" s="426"/>
      <c r="CX224" s="426"/>
      <c r="CY224" s="426"/>
      <c r="CZ224" s="426"/>
      <c r="DA224" s="426"/>
      <c r="DB224" s="426"/>
      <c r="DC224" s="426"/>
      <c r="DD224" s="426"/>
      <c r="DE224" s="426"/>
      <c r="DG224" s="55"/>
      <c r="DH224" s="55"/>
      <c r="DI224" s="55"/>
      <c r="DJ224" s="55"/>
      <c r="DK224" s="55"/>
      <c r="DL224" s="55"/>
      <c r="DM224" s="55"/>
    </row>
    <row r="225" spans="97:117">
      <c r="CS225" s="426"/>
      <c r="CT225" s="426"/>
      <c r="CU225" s="426"/>
      <c r="CV225" s="426"/>
      <c r="CW225" s="426"/>
      <c r="CX225" s="426"/>
      <c r="CY225" s="426"/>
      <c r="CZ225" s="426"/>
      <c r="DA225" s="426"/>
      <c r="DB225" s="426"/>
      <c r="DC225" s="426"/>
      <c r="DD225" s="426"/>
      <c r="DE225" s="426"/>
      <c r="DG225" s="55"/>
      <c r="DH225" s="55"/>
      <c r="DI225" s="55"/>
      <c r="DJ225" s="55"/>
      <c r="DK225" s="55"/>
      <c r="DL225" s="55"/>
      <c r="DM225" s="55"/>
    </row>
    <row r="226" spans="97:117">
      <c r="CS226" s="426"/>
      <c r="CT226" s="426"/>
      <c r="CU226" s="426"/>
      <c r="CV226" s="426"/>
      <c r="CW226" s="426"/>
      <c r="CX226" s="426"/>
      <c r="CY226" s="426"/>
      <c r="CZ226" s="426"/>
      <c r="DA226" s="426"/>
      <c r="DB226" s="426"/>
      <c r="DC226" s="426"/>
      <c r="DD226" s="426"/>
      <c r="DE226" s="426"/>
      <c r="DG226" s="55"/>
      <c r="DH226" s="55"/>
      <c r="DI226" s="55"/>
      <c r="DJ226" s="55"/>
      <c r="DK226" s="55"/>
      <c r="DL226" s="55"/>
      <c r="DM226" s="55"/>
    </row>
    <row r="227" spans="97:117">
      <c r="CS227" s="426"/>
      <c r="CT227" s="426"/>
      <c r="CU227" s="426"/>
      <c r="CV227" s="426"/>
      <c r="CW227" s="426"/>
      <c r="CX227" s="426"/>
      <c r="CY227" s="426"/>
      <c r="CZ227" s="426"/>
      <c r="DA227" s="426"/>
      <c r="DB227" s="426"/>
      <c r="DC227" s="426"/>
      <c r="DD227" s="426"/>
      <c r="DE227" s="426"/>
      <c r="DG227" s="55"/>
      <c r="DH227" s="55"/>
      <c r="DI227" s="55"/>
      <c r="DJ227" s="55"/>
      <c r="DK227" s="55"/>
      <c r="DL227" s="55"/>
      <c r="DM227" s="55"/>
    </row>
    <row r="228" spans="97:117" ht="14.25" customHeight="1">
      <c r="CS228" s="426"/>
      <c r="CT228" s="426"/>
      <c r="CU228" s="426"/>
      <c r="CV228" s="426"/>
      <c r="CW228" s="426"/>
      <c r="CX228" s="426"/>
      <c r="CY228" s="426"/>
      <c r="CZ228" s="426"/>
      <c r="DA228" s="426"/>
      <c r="DB228" s="426"/>
      <c r="DC228" s="426"/>
      <c r="DD228" s="426"/>
      <c r="DE228" s="426"/>
      <c r="DG228" s="55"/>
      <c r="DH228" s="55"/>
      <c r="DI228" s="55"/>
      <c r="DJ228" s="55"/>
      <c r="DK228" s="55"/>
      <c r="DL228" s="55"/>
      <c r="DM228" s="55"/>
    </row>
    <row r="229" spans="97:117" ht="15" customHeight="1">
      <c r="CS229" s="426"/>
      <c r="CT229" s="426"/>
      <c r="CU229" s="426"/>
      <c r="CV229" s="426"/>
      <c r="CW229" s="426"/>
      <c r="CX229" s="426"/>
      <c r="CY229" s="426"/>
      <c r="CZ229" s="426"/>
      <c r="DA229" s="426"/>
      <c r="DB229" s="426"/>
      <c r="DC229" s="426"/>
      <c r="DD229" s="426"/>
      <c r="DE229" s="426"/>
      <c r="DG229" s="55"/>
      <c r="DH229" s="55"/>
      <c r="DI229" s="55"/>
      <c r="DJ229" s="55"/>
      <c r="DK229" s="55"/>
      <c r="DL229" s="55"/>
      <c r="DM229" s="55"/>
    </row>
    <row r="230" spans="97:117" ht="15" customHeight="1">
      <c r="DB230" s="426"/>
      <c r="DC230" s="426"/>
      <c r="DD230" s="426"/>
      <c r="DE230" s="426"/>
      <c r="DG230" s="55"/>
      <c r="DH230" s="55"/>
      <c r="DI230" s="55"/>
      <c r="DJ230" s="55"/>
      <c r="DK230" s="55"/>
      <c r="DL230" s="55"/>
      <c r="DM230" s="55"/>
    </row>
    <row r="231" spans="97:117" ht="15" customHeight="1">
      <c r="DB231" s="426"/>
      <c r="DC231" s="426"/>
      <c r="DD231" s="426"/>
      <c r="DE231" s="426"/>
      <c r="DG231" s="55"/>
      <c r="DH231" s="55"/>
      <c r="DI231" s="55"/>
      <c r="DJ231" s="55"/>
      <c r="DK231" s="55"/>
      <c r="DL231" s="55"/>
      <c r="DM231" s="55"/>
    </row>
    <row r="232" spans="97:117" ht="15" customHeight="1">
      <c r="DB232" s="426"/>
      <c r="DC232" s="426"/>
      <c r="DD232" s="426"/>
      <c r="DE232" s="426"/>
      <c r="DG232" s="55"/>
      <c r="DH232" s="55"/>
      <c r="DI232" s="55"/>
      <c r="DJ232" s="55"/>
      <c r="DK232" s="55"/>
      <c r="DL232" s="55"/>
      <c r="DM232" s="55"/>
    </row>
    <row r="233" spans="97:117" ht="15" customHeight="1">
      <c r="DB233" s="426"/>
      <c r="DC233" s="426"/>
      <c r="DD233" s="426"/>
      <c r="DE233" s="426"/>
      <c r="DG233" s="55"/>
      <c r="DH233" s="55"/>
      <c r="DI233" s="55"/>
      <c r="DJ233" s="55"/>
      <c r="DK233" s="55"/>
      <c r="DL233" s="55"/>
      <c r="DM233" s="55"/>
    </row>
    <row r="234" spans="97:117" ht="15" customHeight="1">
      <c r="DB234" s="426"/>
      <c r="DC234" s="426"/>
      <c r="DD234" s="426"/>
      <c r="DE234" s="426"/>
      <c r="DG234" s="55"/>
      <c r="DH234" s="55"/>
      <c r="DI234" s="55"/>
      <c r="DJ234" s="55"/>
      <c r="DK234" s="55"/>
      <c r="DL234" s="55"/>
      <c r="DM234" s="55"/>
    </row>
    <row r="235" spans="97:117" ht="15" customHeight="1">
      <c r="DB235" s="426"/>
      <c r="DC235" s="426"/>
      <c r="DD235" s="426"/>
      <c r="DE235" s="426"/>
      <c r="DG235" s="55"/>
      <c r="DH235" s="55"/>
      <c r="DI235" s="55"/>
      <c r="DJ235" s="55"/>
      <c r="DK235" s="55"/>
      <c r="DL235" s="55"/>
      <c r="DM235" s="55"/>
    </row>
    <row r="236" spans="97:117" ht="15" customHeight="1">
      <c r="DB236" s="426"/>
      <c r="DC236" s="426"/>
      <c r="DD236" s="426"/>
      <c r="DE236" s="426"/>
      <c r="DG236" s="55"/>
      <c r="DH236" s="55"/>
      <c r="DI236" s="55"/>
      <c r="DJ236" s="55"/>
      <c r="DK236" s="55"/>
      <c r="DL236" s="55"/>
      <c r="DM236" s="55"/>
    </row>
    <row r="237" spans="97:117" ht="15" customHeight="1">
      <c r="DB237" s="426"/>
      <c r="DC237" s="426"/>
      <c r="DD237" s="426"/>
      <c r="DE237" s="426"/>
      <c r="DG237" s="55"/>
      <c r="DH237" s="55"/>
      <c r="DI237" s="55"/>
      <c r="DJ237" s="55"/>
      <c r="DK237" s="55"/>
      <c r="DL237" s="55"/>
      <c r="DM237" s="55"/>
    </row>
    <row r="238" spans="97:117" ht="15" customHeight="1">
      <c r="DB238" s="426"/>
      <c r="DC238" s="426"/>
      <c r="DD238" s="426"/>
      <c r="DE238" s="426"/>
      <c r="DG238" s="55"/>
      <c r="DH238" s="55"/>
      <c r="DI238" s="55"/>
      <c r="DJ238" s="55"/>
      <c r="DK238" s="55"/>
      <c r="DL238" s="55"/>
      <c r="DM238" s="55"/>
    </row>
    <row r="239" spans="97:117" ht="15" customHeight="1">
      <c r="DB239" s="426"/>
      <c r="DC239" s="426"/>
      <c r="DD239" s="426"/>
      <c r="DE239" s="426"/>
      <c r="DG239" s="55"/>
      <c r="DH239" s="55"/>
      <c r="DI239" s="55"/>
      <c r="DJ239" s="55"/>
      <c r="DK239" s="55"/>
      <c r="DL239" s="55"/>
      <c r="DM239" s="55"/>
    </row>
    <row r="240" spans="97:117" ht="15" customHeight="1">
      <c r="DB240" s="426"/>
      <c r="DC240" s="426"/>
      <c r="DD240" s="426"/>
      <c r="DE240" s="426"/>
      <c r="DG240" s="55"/>
      <c r="DH240" s="55"/>
      <c r="DI240" s="55"/>
      <c r="DJ240" s="55"/>
      <c r="DK240" s="55"/>
      <c r="DL240" s="55"/>
      <c r="DM240" s="55"/>
    </row>
    <row r="241" spans="106:117" ht="15" customHeight="1">
      <c r="DB241" s="426"/>
      <c r="DC241" s="426"/>
      <c r="DD241" s="426"/>
      <c r="DE241" s="426"/>
      <c r="DG241" s="55"/>
      <c r="DH241" s="55"/>
      <c r="DI241" s="55"/>
      <c r="DJ241" s="55"/>
      <c r="DK241" s="55"/>
      <c r="DL241" s="55"/>
      <c r="DM241" s="55"/>
    </row>
    <row r="242" spans="106:117" ht="15" customHeight="1">
      <c r="DB242" s="426"/>
      <c r="DC242" s="426"/>
      <c r="DD242" s="426"/>
      <c r="DE242" s="426"/>
      <c r="DG242" s="55"/>
      <c r="DH242" s="55"/>
      <c r="DI242" s="55"/>
      <c r="DJ242" s="55"/>
      <c r="DK242" s="55"/>
      <c r="DL242" s="55"/>
      <c r="DM242" s="55"/>
    </row>
    <row r="243" spans="106:117" ht="15" customHeight="1">
      <c r="DB243" s="426"/>
      <c r="DC243" s="426"/>
      <c r="DD243" s="426"/>
      <c r="DE243" s="426"/>
      <c r="DG243" s="55"/>
      <c r="DH243" s="55"/>
      <c r="DI243" s="55"/>
      <c r="DJ243" s="55"/>
      <c r="DK243" s="55"/>
      <c r="DL243" s="55"/>
      <c r="DM243" s="55"/>
    </row>
    <row r="244" spans="106:117" ht="15" customHeight="1">
      <c r="DB244" s="426"/>
      <c r="DC244" s="426"/>
      <c r="DD244" s="426"/>
      <c r="DE244" s="426"/>
      <c r="DG244" s="55"/>
      <c r="DH244" s="55"/>
      <c r="DI244" s="55"/>
      <c r="DJ244" s="55"/>
      <c r="DK244" s="55"/>
      <c r="DL244" s="55"/>
      <c r="DM244" s="55"/>
    </row>
    <row r="245" spans="106:117" ht="15" customHeight="1">
      <c r="DB245" s="426"/>
      <c r="DC245" s="426"/>
      <c r="DD245" s="426"/>
      <c r="DE245" s="426"/>
      <c r="DG245" s="55"/>
      <c r="DH245" s="55"/>
      <c r="DI245" s="55"/>
      <c r="DJ245" s="55"/>
      <c r="DK245" s="55"/>
      <c r="DL245" s="55"/>
      <c r="DM245" s="55"/>
    </row>
    <row r="246" spans="106:117" ht="15" customHeight="1">
      <c r="DB246" s="426"/>
      <c r="DC246" s="426"/>
      <c r="DD246" s="426"/>
      <c r="DE246" s="426"/>
      <c r="DG246" s="55"/>
      <c r="DH246" s="55"/>
      <c r="DI246" s="55"/>
      <c r="DJ246" s="55"/>
      <c r="DK246" s="55"/>
      <c r="DL246" s="55"/>
      <c r="DM246" s="55"/>
    </row>
    <row r="247" spans="106:117" ht="15" customHeight="1">
      <c r="DB247" s="426"/>
      <c r="DC247" s="426"/>
      <c r="DD247" s="426"/>
      <c r="DE247" s="426"/>
      <c r="DG247" s="55"/>
      <c r="DH247" s="55"/>
      <c r="DI247" s="55"/>
      <c r="DJ247" s="55"/>
      <c r="DK247" s="55"/>
      <c r="DL247" s="55"/>
      <c r="DM247" s="55"/>
    </row>
    <row r="248" spans="106:117" ht="15" customHeight="1">
      <c r="DB248" s="426"/>
      <c r="DC248" s="426"/>
      <c r="DD248" s="426"/>
      <c r="DE248" s="426"/>
      <c r="DG248" s="55"/>
      <c r="DH248" s="55"/>
      <c r="DI248" s="55"/>
      <c r="DJ248" s="55"/>
      <c r="DK248" s="55"/>
      <c r="DL248" s="55"/>
      <c r="DM248" s="55"/>
    </row>
    <row r="249" spans="106:117" ht="15" customHeight="1">
      <c r="DB249" s="426"/>
      <c r="DC249" s="426"/>
      <c r="DD249" s="426"/>
      <c r="DE249" s="426"/>
      <c r="DG249" s="55"/>
      <c r="DH249" s="55"/>
      <c r="DI249" s="55"/>
      <c r="DJ249" s="55"/>
      <c r="DK249" s="55"/>
      <c r="DL249" s="55"/>
      <c r="DM249" s="55"/>
    </row>
    <row r="250" spans="106:117" ht="15" customHeight="1">
      <c r="DB250" s="426"/>
      <c r="DC250" s="426"/>
      <c r="DD250" s="426"/>
      <c r="DE250" s="426"/>
      <c r="DG250" s="55"/>
      <c r="DH250" s="55"/>
      <c r="DI250" s="55"/>
      <c r="DJ250" s="55"/>
      <c r="DK250" s="55"/>
      <c r="DL250" s="55"/>
      <c r="DM250" s="55"/>
    </row>
    <row r="251" spans="106:117" ht="15" customHeight="1">
      <c r="DB251" s="426"/>
      <c r="DC251" s="426"/>
      <c r="DD251" s="426"/>
      <c r="DE251" s="426"/>
      <c r="DG251" s="55"/>
      <c r="DH251" s="55"/>
      <c r="DI251" s="55"/>
      <c r="DJ251" s="55"/>
      <c r="DK251" s="55"/>
      <c r="DL251" s="55"/>
      <c r="DM251" s="55"/>
    </row>
    <row r="252" spans="106:117" ht="15" customHeight="1">
      <c r="DB252" s="426"/>
      <c r="DC252" s="426"/>
      <c r="DD252" s="426"/>
      <c r="DE252" s="426"/>
      <c r="DG252" s="55"/>
      <c r="DH252" s="55"/>
      <c r="DI252" s="55"/>
      <c r="DJ252" s="55"/>
      <c r="DK252" s="55"/>
      <c r="DL252" s="55"/>
      <c r="DM252" s="55"/>
    </row>
    <row r="253" spans="106:117" ht="15" customHeight="1">
      <c r="DB253" s="426"/>
      <c r="DC253" s="426"/>
      <c r="DD253" s="426"/>
      <c r="DE253" s="426"/>
      <c r="DG253" s="55"/>
      <c r="DH253" s="55"/>
      <c r="DI253" s="55"/>
      <c r="DJ253" s="55"/>
      <c r="DK253" s="55"/>
      <c r="DL253" s="55"/>
      <c r="DM253" s="55"/>
    </row>
    <row r="254" spans="106:117" ht="15" customHeight="1">
      <c r="DB254" s="426"/>
      <c r="DC254" s="426"/>
      <c r="DD254" s="426"/>
      <c r="DE254" s="426"/>
      <c r="DG254" s="55"/>
      <c r="DH254" s="55"/>
      <c r="DI254" s="55"/>
      <c r="DJ254" s="55"/>
      <c r="DK254" s="55"/>
      <c r="DL254" s="55"/>
      <c r="DM254" s="55"/>
    </row>
    <row r="255" spans="106:117" ht="15" customHeight="1">
      <c r="DB255" s="426"/>
      <c r="DC255" s="426"/>
      <c r="DD255" s="426"/>
      <c r="DE255" s="426"/>
      <c r="DG255" s="55"/>
      <c r="DH255" s="55"/>
      <c r="DI255" s="55"/>
      <c r="DJ255" s="55"/>
      <c r="DK255" s="55"/>
      <c r="DL255" s="55"/>
      <c r="DM255" s="55"/>
    </row>
    <row r="256" spans="106:117" ht="15" customHeight="1">
      <c r="DB256" s="426"/>
      <c r="DC256" s="426"/>
      <c r="DD256" s="426"/>
      <c r="DE256" s="426"/>
      <c r="DG256" s="55"/>
      <c r="DH256" s="55"/>
      <c r="DI256" s="55"/>
      <c r="DJ256" s="55"/>
      <c r="DK256" s="55"/>
      <c r="DL256" s="55"/>
      <c r="DM256" s="55"/>
    </row>
    <row r="257" spans="106:117" ht="14.25" customHeight="1">
      <c r="DB257" s="426"/>
      <c r="DC257" s="426"/>
      <c r="DD257" s="426"/>
      <c r="DE257" s="426"/>
      <c r="DG257" s="55"/>
      <c r="DH257" s="55"/>
      <c r="DI257" s="55"/>
      <c r="DJ257" s="55"/>
      <c r="DK257" s="55"/>
      <c r="DL257" s="55"/>
      <c r="DM257" s="55"/>
    </row>
    <row r="258" spans="106:117" ht="15" customHeight="1">
      <c r="DB258" s="426"/>
      <c r="DC258" s="426"/>
      <c r="DD258" s="426"/>
      <c r="DE258" s="426"/>
      <c r="DG258" s="55"/>
      <c r="DH258" s="55"/>
      <c r="DI258" s="55"/>
      <c r="DJ258" s="55"/>
      <c r="DK258" s="55"/>
      <c r="DL258" s="55"/>
      <c r="DM258" s="55"/>
    </row>
    <row r="259" spans="106:117" ht="15" customHeight="1">
      <c r="DB259" s="426"/>
      <c r="DC259" s="426"/>
      <c r="DD259" s="426"/>
      <c r="DE259" s="426"/>
      <c r="DG259" s="55"/>
      <c r="DH259" s="55"/>
      <c r="DI259" s="55"/>
      <c r="DJ259" s="55"/>
      <c r="DK259" s="55"/>
      <c r="DL259" s="55"/>
      <c r="DM259" s="55"/>
    </row>
    <row r="260" spans="106:117" ht="15" customHeight="1">
      <c r="DB260" s="426"/>
      <c r="DC260" s="426"/>
      <c r="DD260" s="426"/>
      <c r="DE260" s="426"/>
      <c r="DG260" s="55"/>
      <c r="DH260" s="55"/>
      <c r="DI260" s="55"/>
      <c r="DJ260" s="55"/>
      <c r="DK260" s="55"/>
      <c r="DL260" s="55"/>
      <c r="DM260" s="55"/>
    </row>
    <row r="261" spans="106:117" ht="15" customHeight="1">
      <c r="DB261" s="426"/>
      <c r="DC261" s="426"/>
      <c r="DD261" s="426"/>
      <c r="DE261" s="426"/>
      <c r="DG261" s="55"/>
      <c r="DH261" s="55"/>
      <c r="DI261" s="55"/>
      <c r="DJ261" s="55"/>
      <c r="DK261" s="55"/>
      <c r="DL261" s="55"/>
      <c r="DM261" s="55"/>
    </row>
    <row r="262" spans="106:117" ht="15" customHeight="1">
      <c r="DB262" s="426"/>
      <c r="DC262" s="426"/>
      <c r="DD262" s="426"/>
      <c r="DE262" s="426"/>
      <c r="DG262" s="55"/>
      <c r="DH262" s="55"/>
      <c r="DI262" s="55"/>
      <c r="DJ262" s="55"/>
      <c r="DK262" s="55"/>
      <c r="DL262" s="55"/>
      <c r="DM262" s="55"/>
    </row>
    <row r="263" spans="106:117" ht="15" customHeight="1">
      <c r="DG263" s="55"/>
      <c r="DH263" s="55"/>
      <c r="DI263" s="55"/>
      <c r="DJ263" s="55"/>
      <c r="DK263" s="55"/>
      <c r="DL263" s="55"/>
      <c r="DM263" s="55"/>
    </row>
    <row r="264" spans="106:117" ht="15" customHeight="1">
      <c r="DG264" s="55"/>
      <c r="DH264" s="55"/>
      <c r="DI264" s="55"/>
      <c r="DJ264" s="55"/>
      <c r="DK264" s="55"/>
      <c r="DL264" s="55"/>
      <c r="DM264" s="55"/>
    </row>
    <row r="265" spans="106:117" ht="15" customHeight="1">
      <c r="DG265" s="55"/>
      <c r="DH265" s="55"/>
      <c r="DI265" s="55"/>
      <c r="DJ265" s="55"/>
      <c r="DK265" s="55"/>
      <c r="DL265" s="55"/>
      <c r="DM265" s="55"/>
    </row>
    <row r="266" spans="106:117" ht="15" customHeight="1">
      <c r="DG266" s="55"/>
      <c r="DH266" s="55"/>
      <c r="DI266" s="55"/>
      <c r="DJ266" s="55"/>
      <c r="DK266" s="55"/>
      <c r="DL266" s="55"/>
      <c r="DM266" s="55"/>
    </row>
    <row r="267" spans="106:117" ht="15" customHeight="1">
      <c r="DG267" s="55"/>
      <c r="DH267" s="55"/>
      <c r="DI267" s="55"/>
      <c r="DJ267" s="55"/>
      <c r="DK267" s="55"/>
      <c r="DL267" s="55"/>
      <c r="DM267" s="55"/>
    </row>
    <row r="268" spans="106:117" ht="15" customHeight="1">
      <c r="DG268" s="55"/>
      <c r="DH268" s="55"/>
      <c r="DI268" s="55"/>
      <c r="DJ268" s="55"/>
      <c r="DK268" s="55"/>
      <c r="DL268" s="55"/>
      <c r="DM268" s="55"/>
    </row>
    <row r="269" spans="106:117" ht="15" customHeight="1">
      <c r="DG269" s="55"/>
      <c r="DH269" s="55"/>
      <c r="DI269" s="55"/>
      <c r="DJ269" s="55"/>
      <c r="DK269" s="55"/>
      <c r="DL269" s="55"/>
      <c r="DM269" s="55"/>
    </row>
    <row r="270" spans="106:117" ht="15" customHeight="1">
      <c r="DG270" s="55"/>
      <c r="DH270" s="55"/>
      <c r="DI270" s="55"/>
      <c r="DJ270" s="55"/>
      <c r="DK270" s="55"/>
      <c r="DL270" s="55"/>
      <c r="DM270" s="55"/>
    </row>
    <row r="271" spans="106:117" ht="15" customHeight="1">
      <c r="DG271" s="55"/>
      <c r="DH271" s="55"/>
      <c r="DI271" s="55"/>
      <c r="DJ271" s="55"/>
      <c r="DK271" s="55"/>
      <c r="DL271" s="55"/>
      <c r="DM271" s="55"/>
    </row>
    <row r="272" spans="106:117" ht="15" customHeight="1">
      <c r="DG272" s="55"/>
      <c r="DH272" s="55"/>
      <c r="DI272" s="55"/>
      <c r="DJ272" s="55"/>
      <c r="DK272" s="55"/>
      <c r="DL272" s="55"/>
      <c r="DM272" s="55"/>
    </row>
    <row r="273" spans="111:117" ht="15" customHeight="1">
      <c r="DG273" s="55"/>
      <c r="DH273" s="55"/>
      <c r="DI273" s="55"/>
      <c r="DJ273" s="55"/>
      <c r="DK273" s="55"/>
      <c r="DL273" s="55"/>
      <c r="DM273" s="55"/>
    </row>
    <row r="274" spans="111:117" ht="15" customHeight="1">
      <c r="DG274" s="55"/>
      <c r="DH274" s="55"/>
      <c r="DI274" s="55"/>
      <c r="DJ274" s="55"/>
      <c r="DK274" s="55"/>
      <c r="DL274" s="55"/>
      <c r="DM274" s="55"/>
    </row>
    <row r="275" spans="111:117" ht="15" customHeight="1">
      <c r="DG275" s="55"/>
      <c r="DH275" s="55"/>
      <c r="DI275" s="55"/>
      <c r="DJ275" s="55"/>
      <c r="DK275" s="55"/>
      <c r="DL275" s="55"/>
      <c r="DM275" s="55"/>
    </row>
    <row r="276" spans="111:117" ht="15" customHeight="1">
      <c r="DG276" s="55"/>
      <c r="DH276" s="55"/>
      <c r="DI276" s="55"/>
      <c r="DJ276" s="55"/>
      <c r="DK276" s="55"/>
      <c r="DL276" s="55"/>
      <c r="DM276" s="55"/>
    </row>
    <row r="277" spans="111:117" ht="15" customHeight="1">
      <c r="DG277" s="55"/>
      <c r="DH277" s="55"/>
      <c r="DI277" s="55"/>
      <c r="DJ277" s="55"/>
      <c r="DK277" s="55"/>
      <c r="DL277" s="55"/>
      <c r="DM277" s="55"/>
    </row>
    <row r="278" spans="111:117" ht="15" customHeight="1">
      <c r="DG278" s="55"/>
      <c r="DH278" s="55"/>
      <c r="DI278" s="55"/>
      <c r="DJ278" s="55"/>
      <c r="DK278" s="55"/>
      <c r="DL278" s="55"/>
      <c r="DM278" s="55"/>
    </row>
    <row r="279" spans="111:117" ht="15" customHeight="1">
      <c r="DG279" s="55"/>
      <c r="DH279" s="55"/>
      <c r="DI279" s="55"/>
      <c r="DJ279" s="55"/>
      <c r="DK279" s="55"/>
      <c r="DL279" s="55"/>
      <c r="DM279" s="55"/>
    </row>
    <row r="280" spans="111:117" ht="15" customHeight="1">
      <c r="DG280" s="55"/>
      <c r="DH280" s="55"/>
      <c r="DI280" s="55"/>
      <c r="DJ280" s="55"/>
      <c r="DK280" s="55"/>
      <c r="DL280" s="55"/>
      <c r="DM280" s="55"/>
    </row>
    <row r="281" spans="111:117" ht="15" customHeight="1">
      <c r="DG281" s="55"/>
      <c r="DH281" s="55"/>
      <c r="DI281" s="55"/>
      <c r="DJ281" s="55"/>
      <c r="DK281" s="55"/>
      <c r="DL281" s="55"/>
      <c r="DM281" s="55"/>
    </row>
    <row r="282" spans="111:117" ht="15" customHeight="1">
      <c r="DG282" s="55"/>
      <c r="DH282" s="55"/>
      <c r="DI282" s="55"/>
      <c r="DJ282" s="55"/>
      <c r="DK282" s="55"/>
      <c r="DL282" s="55"/>
      <c r="DM282" s="55"/>
    </row>
    <row r="283" spans="111:117" ht="15" customHeight="1">
      <c r="DG283" s="55"/>
      <c r="DH283" s="55"/>
      <c r="DI283" s="55"/>
      <c r="DJ283" s="55"/>
      <c r="DK283" s="55"/>
      <c r="DL283" s="55"/>
      <c r="DM283" s="55"/>
    </row>
    <row r="284" spans="111:117" ht="15" customHeight="1">
      <c r="DG284" s="55"/>
      <c r="DH284" s="55"/>
      <c r="DI284" s="55"/>
      <c r="DJ284" s="55"/>
      <c r="DK284" s="55"/>
      <c r="DL284" s="55"/>
      <c r="DM284" s="55"/>
    </row>
    <row r="285" spans="111:117" ht="15" customHeight="1">
      <c r="DG285" s="55"/>
      <c r="DH285" s="55"/>
      <c r="DI285" s="55"/>
      <c r="DJ285" s="55"/>
      <c r="DK285" s="55"/>
      <c r="DL285" s="55"/>
      <c r="DM285" s="55"/>
    </row>
    <row r="286" spans="111:117" ht="15" customHeight="1">
      <c r="DG286" s="55"/>
      <c r="DH286" s="55"/>
      <c r="DI286" s="55"/>
      <c r="DJ286" s="55"/>
      <c r="DK286" s="55"/>
      <c r="DL286" s="55"/>
      <c r="DM286" s="55"/>
    </row>
    <row r="287" spans="111:117" ht="15" customHeight="1">
      <c r="DG287" s="55"/>
      <c r="DH287" s="55"/>
      <c r="DI287" s="55"/>
      <c r="DJ287" s="55"/>
      <c r="DK287" s="55"/>
      <c r="DL287" s="55"/>
      <c r="DM287" s="55"/>
    </row>
    <row r="288" spans="111:117" ht="15" customHeight="1">
      <c r="DG288" s="55"/>
      <c r="DH288" s="55"/>
      <c r="DI288" s="55"/>
      <c r="DJ288" s="55"/>
      <c r="DK288" s="55"/>
      <c r="DL288" s="55"/>
      <c r="DM288" s="55"/>
    </row>
    <row r="289" spans="111:117" ht="15" customHeight="1">
      <c r="DG289" s="55"/>
      <c r="DH289" s="55"/>
      <c r="DI289" s="55"/>
      <c r="DJ289" s="55"/>
      <c r="DK289" s="55"/>
      <c r="DL289" s="55"/>
      <c r="DM289" s="55"/>
    </row>
    <row r="290" spans="111:117" ht="15" customHeight="1">
      <c r="DG290" s="55"/>
      <c r="DH290" s="55"/>
      <c r="DI290" s="55"/>
      <c r="DJ290" s="55"/>
      <c r="DK290" s="55"/>
      <c r="DL290" s="55"/>
      <c r="DM290" s="55"/>
    </row>
    <row r="291" spans="111:117" ht="15" customHeight="1">
      <c r="DG291" s="55"/>
      <c r="DH291" s="55"/>
      <c r="DI291" s="55"/>
      <c r="DJ291" s="55"/>
      <c r="DK291" s="55"/>
      <c r="DL291" s="55"/>
      <c r="DM291" s="55"/>
    </row>
    <row r="292" spans="111:117" ht="15" customHeight="1">
      <c r="DG292" s="55"/>
      <c r="DH292" s="55"/>
      <c r="DI292" s="55"/>
      <c r="DJ292" s="55"/>
      <c r="DK292" s="55"/>
      <c r="DL292" s="55"/>
      <c r="DM292" s="55"/>
    </row>
    <row r="293" spans="111:117" ht="15" customHeight="1">
      <c r="DG293" s="55"/>
      <c r="DH293" s="55"/>
      <c r="DI293" s="55"/>
      <c r="DJ293" s="55"/>
      <c r="DK293" s="55"/>
      <c r="DL293" s="55"/>
      <c r="DM293" s="55"/>
    </row>
    <row r="294" spans="111:117" ht="15" customHeight="1">
      <c r="DG294" s="55"/>
      <c r="DH294" s="55"/>
      <c r="DI294" s="55"/>
      <c r="DJ294" s="55"/>
      <c r="DK294" s="55"/>
      <c r="DL294" s="55"/>
      <c r="DM294" s="55"/>
    </row>
    <row r="295" spans="111:117" ht="15" customHeight="1">
      <c r="DG295" s="55"/>
      <c r="DH295" s="55"/>
      <c r="DI295" s="55"/>
      <c r="DJ295" s="55"/>
      <c r="DK295" s="55"/>
      <c r="DL295" s="55"/>
      <c r="DM295" s="55"/>
    </row>
    <row r="296" spans="111:117" ht="15" customHeight="1">
      <c r="DG296" s="55"/>
      <c r="DH296" s="55"/>
      <c r="DI296" s="55"/>
      <c r="DJ296" s="55"/>
      <c r="DK296" s="55"/>
      <c r="DL296" s="55"/>
      <c r="DM296" s="55"/>
    </row>
    <row r="297" spans="111:117" ht="15" customHeight="1">
      <c r="DG297" s="55"/>
      <c r="DH297" s="55"/>
      <c r="DI297" s="55"/>
      <c r="DJ297" s="55"/>
      <c r="DK297" s="55"/>
      <c r="DL297" s="55"/>
      <c r="DM297" s="55"/>
    </row>
    <row r="298" spans="111:117" ht="15" customHeight="1">
      <c r="DG298" s="55"/>
      <c r="DH298" s="55"/>
      <c r="DI298" s="55"/>
      <c r="DJ298" s="55"/>
      <c r="DK298" s="55"/>
      <c r="DL298" s="55"/>
      <c r="DM298" s="55"/>
    </row>
    <row r="299" spans="111:117" ht="15" customHeight="1">
      <c r="DG299" s="55"/>
      <c r="DH299" s="55"/>
      <c r="DI299" s="55"/>
      <c r="DJ299" s="55"/>
      <c r="DK299" s="55"/>
      <c r="DL299" s="55"/>
      <c r="DM299" s="55"/>
    </row>
    <row r="300" spans="111:117" ht="15" customHeight="1">
      <c r="DG300" s="55"/>
      <c r="DH300" s="55"/>
      <c r="DI300" s="55"/>
      <c r="DJ300" s="55"/>
      <c r="DK300" s="55"/>
      <c r="DL300" s="55"/>
      <c r="DM300" s="55"/>
    </row>
    <row r="301" spans="111:117" ht="15" customHeight="1">
      <c r="DG301" s="55"/>
      <c r="DH301" s="55"/>
      <c r="DI301" s="55"/>
      <c r="DJ301" s="55"/>
      <c r="DK301" s="55"/>
      <c r="DL301" s="55"/>
      <c r="DM301" s="55"/>
    </row>
    <row r="302" spans="111:117" ht="15" customHeight="1">
      <c r="DG302" s="55"/>
      <c r="DH302" s="55"/>
      <c r="DI302" s="55"/>
      <c r="DJ302" s="55"/>
      <c r="DK302" s="55"/>
      <c r="DL302" s="55"/>
      <c r="DM302" s="55"/>
    </row>
    <row r="303" spans="111:117" ht="15" customHeight="1">
      <c r="DG303" s="55"/>
      <c r="DH303" s="55"/>
      <c r="DI303" s="55"/>
      <c r="DJ303" s="55"/>
      <c r="DK303" s="55"/>
      <c r="DL303" s="55"/>
      <c r="DM303" s="55"/>
    </row>
    <row r="304" spans="111:117" ht="15" customHeight="1">
      <c r="DG304" s="55"/>
      <c r="DH304" s="55"/>
      <c r="DI304" s="55"/>
      <c r="DJ304" s="55"/>
      <c r="DK304" s="55"/>
      <c r="DL304" s="55"/>
      <c r="DM304" s="55"/>
    </row>
    <row r="305" spans="111:117" ht="15" customHeight="1">
      <c r="DG305" s="55"/>
      <c r="DH305" s="55"/>
      <c r="DI305" s="55"/>
      <c r="DJ305" s="55"/>
      <c r="DK305" s="55"/>
      <c r="DL305" s="55"/>
      <c r="DM305" s="55"/>
    </row>
    <row r="306" spans="111:117" ht="15" customHeight="1">
      <c r="DG306" s="55"/>
      <c r="DH306" s="55"/>
      <c r="DI306" s="55"/>
      <c r="DJ306" s="55"/>
      <c r="DK306" s="55"/>
      <c r="DL306" s="55"/>
      <c r="DM306" s="55"/>
    </row>
    <row r="307" spans="111:117" ht="15" customHeight="1">
      <c r="DG307" s="55"/>
      <c r="DH307" s="55"/>
      <c r="DI307" s="55"/>
      <c r="DJ307" s="55"/>
      <c r="DK307" s="55"/>
      <c r="DL307" s="55"/>
      <c r="DM307" s="55"/>
    </row>
    <row r="308" spans="111:117" ht="15" customHeight="1">
      <c r="DG308" s="55"/>
      <c r="DH308" s="55"/>
      <c r="DI308" s="55"/>
      <c r="DJ308" s="55"/>
      <c r="DK308" s="55"/>
      <c r="DL308" s="55"/>
      <c r="DM308" s="55"/>
    </row>
    <row r="309" spans="111:117" ht="15" customHeight="1">
      <c r="DG309" s="55"/>
      <c r="DH309" s="55"/>
      <c r="DI309" s="55"/>
      <c r="DJ309" s="55"/>
      <c r="DK309" s="55"/>
      <c r="DL309" s="55"/>
      <c r="DM309" s="55"/>
    </row>
    <row r="310" spans="111:117" ht="15" customHeight="1">
      <c r="DG310" s="55"/>
      <c r="DH310" s="55"/>
      <c r="DI310" s="55"/>
      <c r="DJ310" s="55"/>
      <c r="DK310" s="55"/>
      <c r="DL310" s="55"/>
      <c r="DM310" s="55"/>
    </row>
    <row r="311" spans="111:117" ht="15" customHeight="1">
      <c r="DG311" s="55"/>
      <c r="DH311" s="55"/>
      <c r="DI311" s="55"/>
      <c r="DJ311" s="55"/>
      <c r="DK311" s="55"/>
      <c r="DL311" s="55"/>
      <c r="DM311" s="55"/>
    </row>
    <row r="312" spans="111:117" ht="15" customHeight="1">
      <c r="DG312" s="55"/>
      <c r="DH312" s="55"/>
      <c r="DI312" s="55"/>
      <c r="DJ312" s="55"/>
      <c r="DK312" s="55"/>
      <c r="DL312" s="55"/>
      <c r="DM312" s="55"/>
    </row>
    <row r="313" spans="111:117" ht="15" customHeight="1">
      <c r="DG313" s="55"/>
      <c r="DH313" s="55"/>
      <c r="DI313" s="55"/>
      <c r="DJ313" s="55"/>
      <c r="DK313" s="55"/>
      <c r="DL313" s="55"/>
      <c r="DM313" s="55"/>
    </row>
    <row r="314" spans="111:117" ht="15" customHeight="1">
      <c r="DG314" s="55"/>
      <c r="DH314" s="55"/>
      <c r="DI314" s="55"/>
      <c r="DJ314" s="55"/>
      <c r="DK314" s="55"/>
      <c r="DL314" s="55"/>
      <c r="DM314" s="55"/>
    </row>
    <row r="315" spans="111:117" ht="15" customHeight="1"/>
  </sheetData>
  <sheetProtection algorithmName="SHA-512" hashValue="J0WORnaLGCAMCR9PYA9p4dleU8h3wZHODvtI6tN6jVaVPdvjBWwyfx0YEGaOPcFkAdLB3va46wzGSLSdJ3S5vQ==" saltValue="eIP37id6DzUSS66DpiGh8A==" spinCount="100000" sheet="1" objects="1" scenarios="1"/>
  <sortState ref="B8:J47">
    <sortCondition ref="B8:B47"/>
  </sortState>
  <mergeCells count="254">
    <mergeCell ref="M3:W4"/>
    <mergeCell ref="AW100:BD100"/>
    <mergeCell ref="PI95:PL95"/>
    <mergeCell ref="PM95:PP95"/>
    <mergeCell ref="NU3:OB4"/>
    <mergeCell ref="NU7:NX7"/>
    <mergeCell ref="NY7:OB7"/>
    <mergeCell ref="OE3:OR4"/>
    <mergeCell ref="OE6:OR6"/>
    <mergeCell ref="OE7:OK7"/>
    <mergeCell ref="OL7:OR7"/>
    <mergeCell ref="OU3:PF4"/>
    <mergeCell ref="OU7:OX7"/>
    <mergeCell ref="OY7:PB7"/>
    <mergeCell ref="PC7:PF7"/>
    <mergeCell ref="OT3:OT4"/>
    <mergeCell ref="PH3:PH4"/>
    <mergeCell ref="OD3:OD4"/>
    <mergeCell ref="OU95:OX95"/>
    <mergeCell ref="OY95:PB95"/>
    <mergeCell ref="PC95:PF95"/>
    <mergeCell ref="NI6:NM6"/>
    <mergeCell ref="NI7:NJ7"/>
    <mergeCell ref="NK7:NM7"/>
    <mergeCell ref="FE95:FH95"/>
    <mergeCell ref="NN6:NR6"/>
    <mergeCell ref="NN7:NO7"/>
    <mergeCell ref="NP7:NR7"/>
    <mergeCell ref="NI3:NR4"/>
    <mergeCell ref="ND7:NF7"/>
    <mergeCell ref="PI3:PP4"/>
    <mergeCell ref="PI6:PP6"/>
    <mergeCell ref="PI7:PL7"/>
    <mergeCell ref="PM7:PP7"/>
    <mergeCell ref="NT3:NT4"/>
    <mergeCell ref="NH3:NH4"/>
    <mergeCell ref="MX3:NF4"/>
    <mergeCell ref="NA7:NC7"/>
    <mergeCell ref="JC95:JG95"/>
    <mergeCell ref="IW95:JA95"/>
    <mergeCell ref="IQ95:IU95"/>
    <mergeCell ref="HA95:HC95"/>
    <mergeCell ref="HD95:HF95"/>
    <mergeCell ref="FW95:FZ95"/>
    <mergeCell ref="GA95:GD95"/>
    <mergeCell ref="GE95:GH95"/>
    <mergeCell ref="GP95:GR95"/>
    <mergeCell ref="GS95:GU95"/>
    <mergeCell ref="GV95:GX95"/>
    <mergeCell ref="B3:B4"/>
    <mergeCell ref="G3:G4"/>
    <mergeCell ref="CS3:CS4"/>
    <mergeCell ref="L3:L4"/>
    <mergeCell ref="AO7:AV7"/>
    <mergeCell ref="BN3:BN4"/>
    <mergeCell ref="CL7:CN7"/>
    <mergeCell ref="X3:X4"/>
    <mergeCell ref="EF3:ET4"/>
    <mergeCell ref="CX6:DA6"/>
    <mergeCell ref="Y3:AG4"/>
    <mergeCell ref="AN3:AN4"/>
    <mergeCell ref="AO3:BL4"/>
    <mergeCell ref="CI7:CK7"/>
    <mergeCell ref="BO7:BT7"/>
    <mergeCell ref="CI3:CQ4"/>
    <mergeCell ref="CH3:CH4"/>
    <mergeCell ref="BO3:CF4"/>
    <mergeCell ref="BU7:BZ7"/>
    <mergeCell ref="CA7:CF7"/>
    <mergeCell ref="CO7:CQ7"/>
    <mergeCell ref="BE7:BL7"/>
    <mergeCell ref="AW7:BD7"/>
    <mergeCell ref="CT41:CU41"/>
    <mergeCell ref="CV41:CW41"/>
    <mergeCell ref="CX41:CY41"/>
    <mergeCell ref="CZ41:DA41"/>
    <mergeCell ref="CY42:CY43"/>
    <mergeCell ref="CZ42:CZ43"/>
    <mergeCell ref="DA42:DA43"/>
    <mergeCell ref="CT18:CU18"/>
    <mergeCell ref="CT30:CU30"/>
    <mergeCell ref="CV30:CW30"/>
    <mergeCell ref="CX30:CY30"/>
    <mergeCell ref="CZ30:DA30"/>
    <mergeCell ref="CX29:DA29"/>
    <mergeCell ref="CT29:CW29"/>
    <mergeCell ref="GZ3:GZ4"/>
    <mergeCell ref="IQ7:IV7"/>
    <mergeCell ref="EK95:EO95"/>
    <mergeCell ref="EP95:ET95"/>
    <mergeCell ref="EF95:EJ95"/>
    <mergeCell ref="AO95:AV95"/>
    <mergeCell ref="AW95:BD95"/>
    <mergeCell ref="BU95:BZ95"/>
    <mergeCell ref="CA95:CF95"/>
    <mergeCell ref="CI95:CK95"/>
    <mergeCell ref="CL95:CN95"/>
    <mergeCell ref="CO95:CQ95"/>
    <mergeCell ref="BO95:BT95"/>
    <mergeCell ref="BE95:BL95"/>
    <mergeCell ref="EW95:EZ95"/>
    <mergeCell ref="CX17:DA17"/>
    <mergeCell ref="DB17:DE17"/>
    <mergeCell ref="CT42:CT43"/>
    <mergeCell ref="CU42:CU43"/>
    <mergeCell ref="CV42:CV43"/>
    <mergeCell ref="CW42:CW43"/>
    <mergeCell ref="CX42:CX43"/>
    <mergeCell ref="CT40:CW40"/>
    <mergeCell ref="CX40:DA40"/>
    <mergeCell ref="C7:E7"/>
    <mergeCell ref="C3:E4"/>
    <mergeCell ref="H3:J4"/>
    <mergeCell ref="FV3:FV4"/>
    <mergeCell ref="GK7:GM7"/>
    <mergeCell ref="GK3:GM4"/>
    <mergeCell ref="GO3:GO4"/>
    <mergeCell ref="GP3:GX4"/>
    <mergeCell ref="GP7:GR7"/>
    <mergeCell ref="GS7:GU7"/>
    <mergeCell ref="GV7:GX7"/>
    <mergeCell ref="FQ7:FT7"/>
    <mergeCell ref="FM6:FT6"/>
    <mergeCell ref="CV7:CW7"/>
    <mergeCell ref="DP3:DR4"/>
    <mergeCell ref="CX7:CY7"/>
    <mergeCell ref="CZ7:DA7"/>
    <mergeCell ref="DI7:DM7"/>
    <mergeCell ref="DH3:DM4"/>
    <mergeCell ref="DB6:DE6"/>
    <mergeCell ref="DO3:DO4"/>
    <mergeCell ref="GJ3:GJ4"/>
    <mergeCell ref="CT3:DE4"/>
    <mergeCell ref="EP7:ET7"/>
    <mergeCell ref="KE3:KV4"/>
    <mergeCell ref="LJ6:MB6"/>
    <mergeCell ref="LJ7:LO7"/>
    <mergeCell ref="LP7:LU7"/>
    <mergeCell ref="FE6:FL6"/>
    <mergeCell ref="FM7:FP7"/>
    <mergeCell ref="HK3:HK4"/>
    <mergeCell ref="LJ3:MA4"/>
    <mergeCell ref="LV7:MA7"/>
    <mergeCell ref="IC7:IH7"/>
    <mergeCell ref="II7:IN7"/>
    <mergeCell ref="KD3:KD4"/>
    <mergeCell ref="LI3:LI4"/>
    <mergeCell ref="KX3:KX4"/>
    <mergeCell ref="HV3:HV4"/>
    <mergeCell ref="HW7:IB7"/>
    <mergeCell ref="HO7:HQ7"/>
    <mergeCell ref="HR7:HT7"/>
    <mergeCell ref="HL7:HN7"/>
    <mergeCell ref="HL3:HT4"/>
    <mergeCell ref="HA3:HI4"/>
    <mergeCell ref="HA7:HC7"/>
    <mergeCell ref="HD7:HF7"/>
    <mergeCell ref="HG7:HI7"/>
    <mergeCell ref="DE19:DE20"/>
    <mergeCell ref="NB95:NC95"/>
    <mergeCell ref="HW3:IN4"/>
    <mergeCell ref="HW95:HZ95"/>
    <mergeCell ref="IA95:ID95"/>
    <mergeCell ref="IE95:IH95"/>
    <mergeCell ref="MD95:MI95"/>
    <mergeCell ref="MJ95:MO95"/>
    <mergeCell ref="MP95:MU95"/>
    <mergeCell ref="IQ3:JH4"/>
    <mergeCell ref="JK3:JV4"/>
    <mergeCell ref="JY3:KB4"/>
    <mergeCell ref="KY3:LG4"/>
    <mergeCell ref="LE7:LG7"/>
    <mergeCell ref="LB7:LD7"/>
    <mergeCell ref="KY7:LA7"/>
    <mergeCell ref="KY95:LA95"/>
    <mergeCell ref="LB95:LD95"/>
    <mergeCell ref="LE95:LG95"/>
    <mergeCell ref="KK7:KP7"/>
    <mergeCell ref="LV95:MA95"/>
    <mergeCell ref="JK95:JN95"/>
    <mergeCell ref="MC3:MC4"/>
    <mergeCell ref="JK7:JN7"/>
    <mergeCell ref="EV3:EV4"/>
    <mergeCell ref="CW19:CW20"/>
    <mergeCell ref="CT17:CW17"/>
    <mergeCell ref="CV18:CW18"/>
    <mergeCell ref="CV19:CV20"/>
    <mergeCell ref="CT19:CT20"/>
    <mergeCell ref="CU19:CU20"/>
    <mergeCell ref="EW7:EZ7"/>
    <mergeCell ref="EW6:FD6"/>
    <mergeCell ref="DD7:DE7"/>
    <mergeCell ref="CT6:CW6"/>
    <mergeCell ref="FA7:FD7"/>
    <mergeCell ref="CX18:CY18"/>
    <mergeCell ref="CY19:CY20"/>
    <mergeCell ref="DB18:DC18"/>
    <mergeCell ref="DD18:DE18"/>
    <mergeCell ref="CZ19:CZ20"/>
    <mergeCell ref="DA19:DA20"/>
    <mergeCell ref="DB19:DB20"/>
    <mergeCell ref="DC19:DC20"/>
    <mergeCell ref="CZ18:DA18"/>
    <mergeCell ref="DB7:DC7"/>
    <mergeCell ref="CX19:CX20"/>
    <mergeCell ref="DD19:DD20"/>
    <mergeCell ref="EW3:FT4"/>
    <mergeCell ref="PR3:PR4"/>
    <mergeCell ref="PS3:PW4"/>
    <mergeCell ref="EE3:EE4"/>
    <mergeCell ref="DT3:DT4"/>
    <mergeCell ref="CT7:CU7"/>
    <mergeCell ref="MW3:MW4"/>
    <mergeCell ref="JX3:JX4"/>
    <mergeCell ref="FW3:GH4"/>
    <mergeCell ref="JS7:JV7"/>
    <mergeCell ref="KQ7:KV7"/>
    <mergeCell ref="KE7:KJ7"/>
    <mergeCell ref="JO7:JR7"/>
    <mergeCell ref="DU3:DW4"/>
    <mergeCell ref="DY3:DY4"/>
    <mergeCell ref="DZ3:EB4"/>
    <mergeCell ref="JJ3:JJ4"/>
    <mergeCell ref="IP3:IP4"/>
    <mergeCell ref="JC7:JH7"/>
    <mergeCell ref="IW7:JB7"/>
    <mergeCell ref="MD3:MU4"/>
    <mergeCell ref="MD7:MI7"/>
    <mergeCell ref="MJ7:MO7"/>
    <mergeCell ref="MP7:MU7"/>
    <mergeCell ref="PZ3:PZ4"/>
    <mergeCell ref="QA3:QF4"/>
    <mergeCell ref="MX99:MY99"/>
    <mergeCell ref="MZ99:NA99"/>
    <mergeCell ref="DG3:DG4"/>
    <mergeCell ref="MX95:MY95"/>
    <mergeCell ref="MZ95:NA95"/>
    <mergeCell ref="EK7:EO7"/>
    <mergeCell ref="EF7:EJ7"/>
    <mergeCell ref="HG95:HI95"/>
    <mergeCell ref="FW7:FZ7"/>
    <mergeCell ref="GA7:GD7"/>
    <mergeCell ref="GE7:GH7"/>
    <mergeCell ref="KK95:KP95"/>
    <mergeCell ref="KQ95:KV95"/>
    <mergeCell ref="LJ95:LO95"/>
    <mergeCell ref="LP95:LU95"/>
    <mergeCell ref="FE7:FH7"/>
    <mergeCell ref="FI7:FL7"/>
    <mergeCell ref="FA95:FD95"/>
    <mergeCell ref="JO95:JR95"/>
    <mergeCell ref="JS95:JV95"/>
    <mergeCell ref="KE95:KJ95"/>
    <mergeCell ref="MX7:MZ7"/>
  </mergeCells>
  <conditionalFormatting sqref="GY10 AJ8:AJ11 AJ13:AJ14">
    <cfRule type="cellIs" dxfId="1" priority="9" operator="equal">
      <formula>"ì"</formula>
    </cfRule>
  </conditionalFormatting>
  <conditionalFormatting sqref="HU10">
    <cfRule type="cellIs" dxfId="0" priority="1" operator="equal">
      <formula>"ì"</formula>
    </cfRule>
  </conditionalFormatting>
  <pageMargins left="0.7" right="0.7" top="0.75" bottom="0.75" header="0.3" footer="0.3"/>
  <pageSetup paperSize="9" scale="10" orientation="portrait" r:id="rId1"/>
  <ignoredErrors>
    <ignoredError sqref="HN66 HN67:HN85 HN86:HN91 HQ86:HQ91 HQ66:HQ85 HY66:HY91 IB66:IB91 IE88:IE91 IE66:IE77 IE79:IE87 IH66:IH91 IK66:IK84 CV21:CV26 CX21:CX26 CZ21:CZ26 DB21:DB26 DD21:DD26 DC21:DC26 DA21:DA26 CY21:CY26 CV44:CW49 CX44:CX49 CZ44:CZ49 CY44:CY49 IK86:IK91"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rgb="FF67A6A5"/>
    <pageSetUpPr fitToPage="1"/>
  </sheetPr>
  <dimension ref="A1:U101"/>
  <sheetViews>
    <sheetView showGridLines="0" topLeftCell="A55" zoomScale="120" zoomScaleNormal="120" zoomScaleSheetLayoutView="115" zoomScalePageLayoutView="115" workbookViewId="0">
      <selection activeCell="C3" sqref="C3"/>
    </sheetView>
  </sheetViews>
  <sheetFormatPr baseColWidth="10" defaultColWidth="9.6640625" defaultRowHeight="13.2"/>
  <cols>
    <col min="1" max="1" width="23.6640625" style="19" customWidth="1"/>
    <col min="2" max="2" width="10.5546875" style="19" customWidth="1"/>
    <col min="3" max="3" width="11.6640625" style="19" customWidth="1"/>
    <col min="4" max="4" width="12" style="19" customWidth="1"/>
    <col min="5" max="5" width="11.5546875" style="19" customWidth="1"/>
    <col min="6" max="9" width="9.33203125" style="19" customWidth="1"/>
    <col min="10" max="10" width="8.6640625" style="19" customWidth="1"/>
    <col min="11" max="14" width="9.33203125" style="19" customWidth="1"/>
    <col min="15" max="15" width="13.6640625" style="19" customWidth="1"/>
    <col min="16" max="16384" width="9.6640625" style="19"/>
  </cols>
  <sheetData>
    <row r="1" spans="1:21" s="99" customFormat="1" ht="19.2">
      <c r="A1" s="442" t="s">
        <v>363</v>
      </c>
      <c r="B1" s="352"/>
      <c r="C1" s="352"/>
      <c r="D1" s="352"/>
      <c r="E1" s="352"/>
      <c r="F1" s="352"/>
      <c r="G1" s="352"/>
      <c r="H1" s="352"/>
      <c r="I1" s="352"/>
      <c r="J1" s="352"/>
      <c r="K1" s="1224"/>
      <c r="L1" s="1225"/>
      <c r="M1" s="1225"/>
      <c r="N1" s="1225"/>
      <c r="O1" s="1226" t="str">
        <f>CONCATENATE("Les données concernent les territoires en vigueur au 1er janvier"," ",'Aides traitements'!L4)</f>
        <v>Les données concernent les territoires en vigueur au 1er janvier 2022</v>
      </c>
    </row>
    <row r="2" spans="1:21" ht="14.25" customHeight="1">
      <c r="A2" s="1227"/>
      <c r="B2" s="32"/>
      <c r="C2" s="32"/>
      <c r="D2" s="32"/>
      <c r="E2" s="32"/>
      <c r="F2" s="32"/>
      <c r="G2" s="32"/>
      <c r="H2" s="32"/>
      <c r="I2" s="32"/>
      <c r="J2" s="32"/>
      <c r="K2" s="32"/>
      <c r="L2" s="32"/>
      <c r="M2" s="32"/>
      <c r="N2" s="32"/>
      <c r="O2" s="32"/>
    </row>
    <row r="3" spans="1:21" s="67" customFormat="1" ht="15" customHeight="1">
      <c r="A3" s="29"/>
      <c r="B3" s="29"/>
      <c r="C3" s="29"/>
      <c r="D3" s="29"/>
      <c r="E3" s="29"/>
      <c r="F3" s="29"/>
      <c r="G3" s="29"/>
      <c r="H3" s="29"/>
      <c r="I3" s="29"/>
      <c r="J3" s="29"/>
      <c r="K3" s="29"/>
      <c r="L3" s="29"/>
      <c r="M3" s="29"/>
      <c r="N3" s="29"/>
      <c r="O3" s="29"/>
    </row>
    <row r="4" spans="1:21" customFormat="1" ht="13.5" customHeight="1">
      <c r="A4" s="487" t="s">
        <v>229</v>
      </c>
      <c r="B4" s="488"/>
      <c r="C4" s="488"/>
      <c r="D4" s="488"/>
      <c r="E4" s="488"/>
      <c r="F4" s="493"/>
      <c r="G4" s="488"/>
      <c r="H4" s="488"/>
      <c r="I4" s="488"/>
      <c r="J4" s="488"/>
      <c r="K4" s="488"/>
      <c r="L4" s="488"/>
      <c r="M4" s="488"/>
      <c r="N4" s="488"/>
      <c r="O4" s="488"/>
      <c r="Q4" s="19"/>
      <c r="R4" s="19"/>
      <c r="S4" s="19"/>
      <c r="T4" s="19"/>
      <c r="U4" s="19"/>
    </row>
    <row r="5" spans="1:21" customFormat="1" ht="14.25" customHeight="1">
      <c r="J5" s="7"/>
      <c r="K5" s="496"/>
      <c r="L5" s="489"/>
      <c r="M5" s="489"/>
      <c r="N5" s="489"/>
      <c r="O5" s="490"/>
      <c r="Q5" s="19"/>
      <c r="R5" s="19"/>
      <c r="S5" s="19"/>
      <c r="T5" s="19"/>
      <c r="U5" s="19"/>
    </row>
    <row r="6" spans="1:21" customFormat="1" ht="13.5" customHeight="1">
      <c r="A6" s="1433" t="str">
        <f>CONCATENATE("Type d'activité de la population âgée de 15 à 64 ans en ",'Aides traitements'!$I$11)</f>
        <v>Type d'activité de la population âgée de 15 à 64 ans en 2020</v>
      </c>
      <c r="B6" s="1426" t="s">
        <v>86</v>
      </c>
      <c r="C6" s="1427"/>
      <c r="D6" s="1427"/>
      <c r="E6" s="1427"/>
      <c r="F6" s="1427"/>
      <c r="G6" s="1427"/>
      <c r="H6" s="1427"/>
      <c r="I6" s="1428"/>
      <c r="J6" s="7"/>
      <c r="K6" s="491"/>
      <c r="L6" s="489"/>
      <c r="M6" s="489"/>
      <c r="N6" s="489"/>
      <c r="O6" s="490"/>
      <c r="Q6" s="19"/>
      <c r="R6" s="19"/>
      <c r="S6" s="19"/>
      <c r="T6" s="19"/>
      <c r="U6" s="19"/>
    </row>
    <row r="7" spans="1:21" customFormat="1" ht="13.5" customHeight="1">
      <c r="A7" s="1433"/>
      <c r="B7" s="1236" t="s">
        <v>222</v>
      </c>
      <c r="C7" s="1237"/>
      <c r="D7" s="1394"/>
      <c r="E7" s="1236" t="s">
        <v>223</v>
      </c>
      <c r="F7" s="1237"/>
      <c r="G7" s="1237"/>
      <c r="H7" s="1394"/>
      <c r="I7" s="1422" t="s">
        <v>228</v>
      </c>
      <c r="K7" s="491"/>
      <c r="L7" s="489"/>
      <c r="M7" s="489"/>
      <c r="N7" s="489"/>
      <c r="O7" s="490"/>
      <c r="Q7" s="19"/>
      <c r="R7" s="19"/>
      <c r="S7" s="19"/>
      <c r="T7" s="19"/>
      <c r="U7" s="19"/>
    </row>
    <row r="8" spans="1:21" customFormat="1" ht="39" customHeight="1">
      <c r="A8" s="1434"/>
      <c r="B8" s="946" t="s">
        <v>225</v>
      </c>
      <c r="C8" s="980" t="s">
        <v>192</v>
      </c>
      <c r="D8" s="981" t="s">
        <v>220</v>
      </c>
      <c r="E8" s="946" t="s">
        <v>226</v>
      </c>
      <c r="F8" s="980" t="s">
        <v>257</v>
      </c>
      <c r="G8" s="981" t="s">
        <v>224</v>
      </c>
      <c r="H8" s="982" t="s">
        <v>221</v>
      </c>
      <c r="I8" s="1432"/>
      <c r="K8" s="492" t="str">
        <f>CONCATENATE("Type d'activité de la population âgée de
15 à 64 ans en ",INDEX('Aides traitements'!$E$4:$E$5,'Page de garde'!$G$4,1)," et ",'Aides traitements'!$I$11," ",A9)</f>
        <v>Type d'activité de la population âgée de
15 à 64 ans en 2009 et 2020 Paul Bert</v>
      </c>
      <c r="L8" s="489"/>
      <c r="M8" s="489"/>
      <c r="N8" s="489"/>
      <c r="O8" s="490"/>
      <c r="Q8" s="19"/>
      <c r="R8" s="19"/>
      <c r="S8" s="19"/>
      <c r="T8" s="19"/>
      <c r="U8" s="19"/>
    </row>
    <row r="9" spans="1:21" customFormat="1" ht="13.5" customHeight="1">
      <c r="A9" s="189" t="str">
        <f>INDEX('Aides traitements'!$A$5:$A$26,'Page de garde'!$C$4,1)</f>
        <v>Paul Bert</v>
      </c>
      <c r="B9" s="188">
        <f>VLOOKUP($A9,'Base de données'!$LI$9:$MA$91,14,FALSE)</f>
        <v>1541.3854068313999</v>
      </c>
      <c r="C9" s="187">
        <f>VLOOKUP($A9,'Base de données'!$LI$9:$MA$91,15,FALSE)</f>
        <v>1328.24747456617</v>
      </c>
      <c r="D9" s="187">
        <f>VLOOKUP($A9,'Base de données'!$LI$9:$MA$91,16,FALSE)</f>
        <v>213.13793226523501</v>
      </c>
      <c r="E9" s="188">
        <f>SUM(F9:H9)</f>
        <v>718.63099723639664</v>
      </c>
      <c r="F9" s="187">
        <f>VLOOKUP($A9,'Base de données'!$LI$9:$MA$91,17,FALSE)</f>
        <v>477.83050135637399</v>
      </c>
      <c r="G9" s="298">
        <f>VLOOKUP($A9,'Base de données'!$LI$9:$MA$91,18,FALSE)</f>
        <v>93.313834691629694</v>
      </c>
      <c r="H9" s="298">
        <f>VLOOKUP($A9,'Base de données'!$LI$9:$MA$91,19,FALSE)</f>
        <v>147.48666118839299</v>
      </c>
      <c r="I9" s="187">
        <f>B9+E9</f>
        <v>2260.0164040677964</v>
      </c>
      <c r="K9" s="491"/>
      <c r="L9" s="489"/>
      <c r="M9" s="489"/>
      <c r="N9" s="489"/>
      <c r="O9" s="490"/>
      <c r="Q9" s="19"/>
      <c r="R9" s="19"/>
      <c r="S9" s="19"/>
      <c r="T9" s="19"/>
      <c r="U9" s="19"/>
    </row>
    <row r="10" spans="1:21" customFormat="1" ht="13.5" customHeight="1">
      <c r="A10" s="190" t="str">
        <f>VLOOKUP(A9,'Aides traitements'!$A$5:$B$26,2,FALSE)</f>
        <v>Tours nord</v>
      </c>
      <c r="B10" s="100">
        <f>VLOOKUP($A10,'Base de données'!$LI$9:$MA$91,14,FALSE)</f>
        <v>20693.687855742803</v>
      </c>
      <c r="C10" s="84">
        <f>VLOOKUP($A10,'Base de données'!$LI$9:$MA$91,15,FALSE)</f>
        <v>17664.557519664231</v>
      </c>
      <c r="D10" s="84">
        <f>VLOOKUP($A10,'Base de données'!$LI$9:$MA$91,16,FALSE)</f>
        <v>3029.1303360785646</v>
      </c>
      <c r="E10" s="100">
        <f t="shared" ref="E10:E11" si="0">SUM(F10:H10)</f>
        <v>6221.3981210384718</v>
      </c>
      <c r="F10" s="84">
        <f>VLOOKUP($A10,'Base de données'!$LI$9:$MA$91,17,FALSE)</f>
        <v>3108.6362727010232</v>
      </c>
      <c r="G10" s="109">
        <f>VLOOKUP($A10,'Base de données'!$LI$9:$MA$91,18,FALSE)</f>
        <v>1355.1411191158807</v>
      </c>
      <c r="H10" s="109">
        <f>VLOOKUP($A10,'Base de données'!$LI$9:$MA$91,19,FALSE)</f>
        <v>1757.6207292215677</v>
      </c>
      <c r="I10" s="84">
        <f t="shared" ref="I10:I11" si="1">B10+E10</f>
        <v>26915.085976781273</v>
      </c>
      <c r="K10" s="491"/>
      <c r="L10" s="489"/>
      <c r="M10" s="489"/>
      <c r="N10" s="489"/>
      <c r="O10" s="490"/>
      <c r="Q10" s="19"/>
      <c r="R10" s="19"/>
      <c r="S10" s="19"/>
      <c r="T10" s="19"/>
      <c r="U10" s="19"/>
    </row>
    <row r="11" spans="1:21" ht="13.5" customHeight="1">
      <c r="A11" s="190" t="s">
        <v>0</v>
      </c>
      <c r="B11" s="100">
        <f>VLOOKUP($A11,'Base de données'!$LI$9:$MA$91,14,FALSE)</f>
        <v>65088.990371657754</v>
      </c>
      <c r="C11" s="84">
        <f>VLOOKUP($A11,'Base de données'!$LI$9:$MA$91,15,FALSE)</f>
        <v>54134.756993648421</v>
      </c>
      <c r="D11" s="84">
        <f>VLOOKUP($A11,'Base de données'!$LI$9:$MA$91,16,FALSE)</f>
        <v>10954.233378009318</v>
      </c>
      <c r="E11" s="100">
        <f t="shared" si="0"/>
        <v>27464.657277167513</v>
      </c>
      <c r="F11" s="84">
        <f>VLOOKUP($A11,'Base de données'!$LI$9:$MA$91,17,FALSE)</f>
        <v>17087.657782860195</v>
      </c>
      <c r="G11" s="109">
        <f>VLOOKUP($A11,'Base de données'!$LI$9:$MA$91,18,FALSE)</f>
        <v>3741.7188253213408</v>
      </c>
      <c r="H11" s="109">
        <f>VLOOKUP($A11,'Base de données'!$LI$9:$MA$91,19,FALSE)</f>
        <v>6635.2806689859808</v>
      </c>
      <c r="I11" s="84">
        <f t="shared" si="1"/>
        <v>92553.647648825267</v>
      </c>
      <c r="J11"/>
      <c r="K11" s="491"/>
      <c r="L11" s="489"/>
      <c r="M11" s="489"/>
      <c r="N11" s="489"/>
      <c r="O11" s="490"/>
    </row>
    <row r="12" spans="1:21" ht="14.25" customHeight="1">
      <c r="A12" s="836" t="s">
        <v>304</v>
      </c>
      <c r="B12" s="940"/>
      <c r="C12" s="837"/>
      <c r="D12" s="837"/>
      <c r="E12" s="940"/>
      <c r="F12" s="837"/>
      <c r="G12" s="903"/>
      <c r="H12" s="903"/>
      <c r="I12" s="837"/>
      <c r="J12"/>
      <c r="K12" s="491"/>
      <c r="L12" s="489"/>
      <c r="M12" s="489"/>
      <c r="N12" s="489"/>
      <c r="O12" s="490"/>
      <c r="P12" s="1"/>
    </row>
    <row r="13" spans="1:21" customFormat="1" ht="13.5" customHeight="1">
      <c r="B13" s="19"/>
      <c r="C13" s="985"/>
      <c r="D13" s="985"/>
      <c r="H13" s="19"/>
      <c r="I13" s="19"/>
      <c r="K13" s="491"/>
      <c r="L13" s="489"/>
      <c r="M13" s="489"/>
      <c r="N13" s="489"/>
      <c r="O13" s="490"/>
      <c r="Q13" s="19"/>
      <c r="R13" s="19"/>
      <c r="S13" s="19"/>
      <c r="T13" s="19"/>
      <c r="U13" s="19"/>
    </row>
    <row r="14" spans="1:21" ht="13.5" customHeight="1">
      <c r="A14"/>
      <c r="B14" s="1435" t="s">
        <v>189</v>
      </c>
      <c r="C14" s="1435"/>
      <c r="D14" s="1435"/>
      <c r="E14" s="1435"/>
      <c r="F14" s="1435"/>
      <c r="G14" s="1435"/>
      <c r="H14" s="1435"/>
      <c r="J14"/>
      <c r="K14" s="491"/>
      <c r="L14" s="489"/>
      <c r="M14" s="489"/>
      <c r="N14" s="489"/>
      <c r="O14" s="490"/>
    </row>
    <row r="15" spans="1:21" ht="13.5" customHeight="1">
      <c r="A15" s="1405"/>
      <c r="B15" s="1412" t="s">
        <v>222</v>
      </c>
      <c r="C15" s="1412"/>
      <c r="D15" s="1412"/>
      <c r="E15" s="1412" t="s">
        <v>223</v>
      </c>
      <c r="F15" s="1412"/>
      <c r="G15" s="1412"/>
      <c r="H15" s="1412"/>
      <c r="I15" s="1"/>
      <c r="J15"/>
      <c r="K15" s="491"/>
      <c r="L15" s="489"/>
      <c r="M15" s="489"/>
      <c r="N15" s="489"/>
      <c r="O15" s="490"/>
    </row>
    <row r="16" spans="1:21" ht="37.200000000000003" customHeight="1">
      <c r="A16" s="1405"/>
      <c r="B16" s="964" t="s">
        <v>227</v>
      </c>
      <c r="C16" s="980" t="s">
        <v>192</v>
      </c>
      <c r="D16" s="981" t="s">
        <v>220</v>
      </c>
      <c r="E16" s="964" t="s">
        <v>227</v>
      </c>
      <c r="F16" s="980" t="s">
        <v>257</v>
      </c>
      <c r="G16" s="981" t="s">
        <v>224</v>
      </c>
      <c r="H16" s="982" t="s">
        <v>221</v>
      </c>
      <c r="I16"/>
      <c r="J16"/>
      <c r="K16" s="491"/>
      <c r="L16" s="489"/>
      <c r="M16" s="489"/>
      <c r="N16" s="489"/>
      <c r="O16" s="490"/>
    </row>
    <row r="17" spans="1:16" ht="13.5" customHeight="1">
      <c r="A17" s="189" t="str">
        <f>INDEX('Aides traitements'!$A$5:$A$26,'Page de garde'!$C$4,1)</f>
        <v>Paul Bert</v>
      </c>
      <c r="B17" s="304">
        <f t="shared" ref="B17:H19" si="2">B9/$I9</f>
        <v>0.68202399064761887</v>
      </c>
      <c r="C17" s="304">
        <f t="shared" si="2"/>
        <v>0.58771585559089812</v>
      </c>
      <c r="D17" s="304">
        <f t="shared" si="2"/>
        <v>9.4308135056722919E-2</v>
      </c>
      <c r="E17" s="304">
        <f t="shared" si="2"/>
        <v>0.31797600935238124</v>
      </c>
      <c r="F17" s="304">
        <f t="shared" si="2"/>
        <v>0.21142789074288504</v>
      </c>
      <c r="G17" s="304">
        <f t="shared" si="2"/>
        <v>4.1289007692012505E-2</v>
      </c>
      <c r="H17" s="304">
        <f t="shared" si="2"/>
        <v>6.5259110917483695E-2</v>
      </c>
      <c r="I17"/>
      <c r="J17"/>
      <c r="K17" s="491"/>
      <c r="L17" s="489"/>
      <c r="M17" s="489"/>
      <c r="N17" s="489"/>
      <c r="O17" s="490"/>
    </row>
    <row r="18" spans="1:16" ht="13.5" customHeight="1">
      <c r="A18" s="190" t="str">
        <f>VLOOKUP(A17,'Aides traitements'!$A$5:$B$26,2,FALSE)</f>
        <v>Tours nord</v>
      </c>
      <c r="B18" s="123">
        <f t="shared" si="2"/>
        <v>0.76885089178591304</v>
      </c>
      <c r="C18" s="123">
        <f t="shared" si="2"/>
        <v>0.65630693265861539</v>
      </c>
      <c r="D18" s="123">
        <f t="shared" si="2"/>
        <v>0.11254395912729731</v>
      </c>
      <c r="E18" s="123">
        <f t="shared" si="2"/>
        <v>0.23114910821408707</v>
      </c>
      <c r="F18" s="123">
        <f t="shared" si="2"/>
        <v>0.11549791352636725</v>
      </c>
      <c r="G18" s="123">
        <f t="shared" si="2"/>
        <v>5.034875683789064E-2</v>
      </c>
      <c r="H18" s="123">
        <f t="shared" si="2"/>
        <v>6.530243784982917E-2</v>
      </c>
      <c r="I18"/>
      <c r="J18"/>
      <c r="K18" s="491"/>
      <c r="L18" s="489"/>
      <c r="M18" s="489"/>
      <c r="N18" s="489"/>
      <c r="O18" s="490"/>
    </row>
    <row r="19" spans="1:16" ht="10.5" customHeight="1">
      <c r="A19" s="190" t="s">
        <v>0</v>
      </c>
      <c r="B19" s="123">
        <f t="shared" si="2"/>
        <v>0.70325688965413669</v>
      </c>
      <c r="C19" s="123">
        <f t="shared" si="2"/>
        <v>0.58490138820947402</v>
      </c>
      <c r="D19" s="123">
        <f t="shared" si="2"/>
        <v>0.11835550144466245</v>
      </c>
      <c r="E19" s="123">
        <f t="shared" si="2"/>
        <v>0.29674311034586337</v>
      </c>
      <c r="F19" s="123">
        <f t="shared" si="2"/>
        <v>0.18462435805550964</v>
      </c>
      <c r="G19" s="123">
        <f t="shared" si="2"/>
        <v>4.0427567366317974E-2</v>
      </c>
      <c r="H19" s="123">
        <f t="shared" si="2"/>
        <v>7.169118492403577E-2</v>
      </c>
      <c r="I19" s="1"/>
      <c r="J19"/>
      <c r="K19" s="491"/>
      <c r="L19" s="489"/>
      <c r="M19" s="489"/>
      <c r="N19" s="489"/>
      <c r="O19" s="490"/>
      <c r="P19" s="1"/>
    </row>
    <row r="20" spans="1:16" ht="14.25" customHeight="1">
      <c r="A20" s="836" t="s">
        <v>304</v>
      </c>
      <c r="B20" s="849"/>
      <c r="C20" s="849"/>
      <c r="D20" s="849"/>
      <c r="E20" s="849"/>
      <c r="F20" s="849"/>
      <c r="G20" s="849"/>
      <c r="H20" s="849"/>
      <c r="I20" s="1"/>
      <c r="J20"/>
      <c r="K20" s="491"/>
      <c r="L20" s="489"/>
      <c r="M20" s="489"/>
      <c r="N20" s="489"/>
      <c r="O20" s="490"/>
    </row>
    <row r="21" spans="1:16" ht="14.25" customHeight="1">
      <c r="A21" s="104" t="str">
        <f>CONCATENATE("Source : Insee, RP",'Aides traitements'!$I$11," exploitation principale et complémentaire - lieu de résidence                     Champ : Personnes âgées de 15 à 64 ans.")</f>
        <v>Source : Insee, RP2020 exploitation principale et complémentaire - lieu de résidence                     Champ : Personnes âgées de 15 à 64 ans.</v>
      </c>
      <c r="B21"/>
      <c r="C21"/>
      <c r="D21"/>
      <c r="E21"/>
      <c r="G21" s="1"/>
      <c r="H21" s="1"/>
      <c r="I21" s="1"/>
      <c r="J21" s="7"/>
      <c r="K21" s="491"/>
      <c r="L21" s="489"/>
      <c r="M21" s="489"/>
      <c r="N21" s="489"/>
      <c r="O21" s="490"/>
    </row>
    <row r="22" spans="1:16" s="67" customFormat="1" ht="15" customHeight="1">
      <c r="A22"/>
      <c r="B22"/>
      <c r="C22"/>
      <c r="D22"/>
      <c r="E22"/>
      <c r="F22"/>
      <c r="G22"/>
      <c r="H22"/>
      <c r="I22"/>
      <c r="J22"/>
      <c r="K22"/>
      <c r="L22"/>
      <c r="M22"/>
      <c r="N22"/>
      <c r="O22"/>
    </row>
    <row r="23" spans="1:16" s="1" customFormat="1" ht="14.25" customHeight="1">
      <c r="A23" s="28"/>
      <c r="B23" s="28"/>
      <c r="C23" s="28"/>
      <c r="D23" s="28"/>
      <c r="E23" s="28"/>
      <c r="F23" s="28"/>
      <c r="G23" s="28"/>
      <c r="H23" s="28"/>
      <c r="I23" s="28"/>
      <c r="J23" s="28"/>
      <c r="K23" s="28"/>
      <c r="L23" s="28"/>
      <c r="M23" s="28"/>
      <c r="N23" s="28"/>
      <c r="O23" s="28"/>
    </row>
    <row r="24" spans="1:16" s="1" customFormat="1" ht="13.5" customHeight="1">
      <c r="A24" s="1433" t="str">
        <f>CONCATENATE("Catégorie socioprofessionnelle des actifs occupés âgés 
de 15 à 64 ans en ",'Aides traitements'!$I$11)</f>
        <v>Catégorie socioprofessionnelle des actifs occupés âgés 
de 15 à 64 ans en 2020</v>
      </c>
      <c r="B24" s="1407" t="s">
        <v>86</v>
      </c>
      <c r="C24" s="1407"/>
      <c r="D24" s="1407"/>
      <c r="E24" s="1407"/>
      <c r="F24" s="1407"/>
      <c r="G24" s="1407"/>
      <c r="H24" s="28"/>
      <c r="I24" s="28"/>
      <c r="J24" s="28"/>
      <c r="K24" s="496"/>
      <c r="L24" s="494"/>
      <c r="M24" s="494"/>
      <c r="N24" s="494"/>
      <c r="O24" s="495"/>
    </row>
    <row r="25" spans="1:16" s="1" customFormat="1" ht="40.200000000000003" customHeight="1">
      <c r="A25" s="1434"/>
      <c r="B25" s="965" t="s">
        <v>75</v>
      </c>
      <c r="C25" s="965" t="s">
        <v>76</v>
      </c>
      <c r="D25" s="965" t="s">
        <v>85</v>
      </c>
      <c r="E25" s="965" t="s">
        <v>79</v>
      </c>
      <c r="F25" s="965" t="s">
        <v>77</v>
      </c>
      <c r="G25" s="965" t="s">
        <v>78</v>
      </c>
      <c r="J25"/>
      <c r="K25" s="1100" t="str">
        <f>CONCATENATE("Catégorie socioprofessionnelle des actifs occupés âgés de 15 à 64 ans en ",INDEX('Aides traitements'!$E$4:$E$5,'Page de garde'!$G$4,1)," et ",'Aides traitements'!$I$11," ",A26)</f>
        <v>Catégorie socioprofessionnelle des actifs occupés âgés de 15 à 64 ans en 2009 et 2020 Paul Bert</v>
      </c>
      <c r="L25" s="494"/>
      <c r="M25" s="494"/>
      <c r="N25" s="494"/>
      <c r="O25" s="495"/>
    </row>
    <row r="26" spans="1:16" s="1" customFormat="1" ht="34.5" customHeight="1">
      <c r="A26" s="189" t="str">
        <f>INDEX('Aides traitements'!$A$5:$A$26,'Page de garde'!$C$4,1)</f>
        <v>Paul Bert</v>
      </c>
      <c r="B26" s="932">
        <f>VLOOKUP($A26,'Base de données'!$MC$9:$MU$91,14,FALSE)</f>
        <v>0</v>
      </c>
      <c r="C26" s="932">
        <f>VLOOKUP($A26,'Base de données'!$MC$9:$MU$91,15,FALSE)</f>
        <v>86.825299214581705</v>
      </c>
      <c r="D26" s="932">
        <f>VLOOKUP($A26,'Base de données'!$MC$9:$MU$91,16,FALSE)</f>
        <v>382.01650646515998</v>
      </c>
      <c r="E26" s="932">
        <f>VLOOKUP($A26,'Base de données'!$MC$9:$MU$91,17,FALSE)</f>
        <v>412.323580890149</v>
      </c>
      <c r="F26" s="932">
        <f>VLOOKUP($A26,'Base de données'!$MC$9:$MU$91,18,FALSE)</f>
        <v>281.14679371264998</v>
      </c>
      <c r="G26" s="932">
        <f>VLOOKUP($A26,'Base de données'!$MC$9:$MU$91,19,FALSE)</f>
        <v>158.93528717593</v>
      </c>
      <c r="H26"/>
      <c r="J26"/>
      <c r="K26" s="496"/>
      <c r="L26" s="494"/>
      <c r="M26" s="494"/>
      <c r="N26" s="494"/>
      <c r="O26" s="495"/>
    </row>
    <row r="27" spans="1:16" s="1" customFormat="1" ht="13.2" customHeight="1">
      <c r="A27" s="190" t="str">
        <f>VLOOKUP(A26,'Aides traitements'!$A$5:$B$26,2,FALSE)</f>
        <v>Tours nord</v>
      </c>
      <c r="B27" s="952">
        <f>VLOOKUP($A27,'Base de données'!$MC$9:$MU$91,14,FALSE)</f>
        <v>1.0413425601953701</v>
      </c>
      <c r="C27" s="952">
        <f>VLOOKUP($A27,'Base de données'!$MC$9:$MU$91,15,FALSE)</f>
        <v>724.98603311293982</v>
      </c>
      <c r="D27" s="952">
        <f>VLOOKUP($A27,'Base de données'!$MC$9:$MU$91,16,FALSE)</f>
        <v>2821.2653767163783</v>
      </c>
      <c r="E27" s="952">
        <f>VLOOKUP($A27,'Base de données'!$MC$9:$MU$91,17,FALSE)</f>
        <v>5136.0648973015359</v>
      </c>
      <c r="F27" s="952">
        <f>VLOOKUP($A27,'Base de données'!$MC$9:$MU$91,18,FALSE)</f>
        <v>5701.2792184798509</v>
      </c>
      <c r="G27" s="952">
        <f>VLOOKUP($A27,'Base de données'!$MC$9:$MU$91,19,FALSE)</f>
        <v>3268.9206403240955</v>
      </c>
      <c r="H27"/>
      <c r="J27"/>
      <c r="K27" s="496"/>
      <c r="L27" s="494"/>
      <c r="M27" s="494"/>
      <c r="N27" s="494"/>
      <c r="O27" s="495"/>
    </row>
    <row r="28" spans="1:16" s="1" customFormat="1" ht="13.2" customHeight="1">
      <c r="A28" s="190" t="s">
        <v>0</v>
      </c>
      <c r="B28" s="952">
        <f>VLOOKUP($A28,'Base de données'!$MC$9:$MU$91,14,FALSE)</f>
        <v>18.249556720459786</v>
      </c>
      <c r="C28" s="952">
        <f>VLOOKUP($A28,'Base de données'!$MC$9:$MU$91,15,FALSE)</f>
        <v>2323.6780673320027</v>
      </c>
      <c r="D28" s="952">
        <f>VLOOKUP($A28,'Base de données'!$MC$9:$MU$91,16,FALSE)</f>
        <v>12660.257258306663</v>
      </c>
      <c r="E28" s="952">
        <f>VLOOKUP($A28,'Base de données'!$MC$9:$MU$91,17,FALSE)</f>
        <v>15372.86097172864</v>
      </c>
      <c r="F28" s="952">
        <f>VLOOKUP($A28,'Base de données'!$MC$9:$MU$91,18,FALSE)</f>
        <v>15226.38338379752</v>
      </c>
      <c r="G28" s="952">
        <f>VLOOKUP($A28,'Base de données'!$MC$9:$MU$91,19,FALSE)</f>
        <v>8491.327713116958</v>
      </c>
      <c r="H28"/>
      <c r="J28"/>
      <c r="K28" s="496"/>
      <c r="L28" s="494"/>
      <c r="M28" s="494"/>
      <c r="N28" s="494"/>
      <c r="O28" s="495"/>
    </row>
    <row r="29" spans="1:16" s="1" customFormat="1" ht="13.2" customHeight="1">
      <c r="A29" s="836" t="s">
        <v>304</v>
      </c>
      <c r="B29" s="837"/>
      <c r="C29" s="837"/>
      <c r="D29" s="837"/>
      <c r="E29" s="837"/>
      <c r="F29" s="837"/>
      <c r="G29" s="837"/>
      <c r="H29" s="10"/>
      <c r="J29"/>
      <c r="K29" s="496"/>
      <c r="L29" s="494"/>
      <c r="M29" s="494"/>
      <c r="N29" s="494"/>
      <c r="O29" s="495"/>
    </row>
    <row r="30" spans="1:16" s="1" customFormat="1" ht="13.2" customHeight="1">
      <c r="A30" s="20"/>
      <c r="B30" s="548"/>
      <c r="C30" s="548"/>
      <c r="D30" s="548"/>
      <c r="E30" s="548"/>
      <c r="F30" s="548"/>
      <c r="G30" s="548"/>
      <c r="J30"/>
      <c r="K30" s="496"/>
      <c r="L30" s="494"/>
      <c r="M30" s="494"/>
      <c r="N30" s="494"/>
      <c r="O30" s="495"/>
    </row>
    <row r="31" spans="1:16" ht="14.25" customHeight="1">
      <c r="A31" s="20"/>
      <c r="B31" s="1412" t="s">
        <v>189</v>
      </c>
      <c r="C31" s="1412"/>
      <c r="D31" s="1412"/>
      <c r="E31" s="1412"/>
      <c r="F31" s="1412"/>
      <c r="G31" s="1412"/>
      <c r="H31" s="1"/>
      <c r="I31" s="1"/>
      <c r="J31"/>
      <c r="K31" s="496"/>
      <c r="L31" s="494"/>
      <c r="M31" s="494"/>
      <c r="N31" s="494"/>
      <c r="O31" s="495"/>
    </row>
    <row r="32" spans="1:16" ht="42" customHeight="1">
      <c r="A32" s="52"/>
      <c r="B32" s="204" t="s">
        <v>75</v>
      </c>
      <c r="C32" s="204" t="s">
        <v>87</v>
      </c>
      <c r="D32" s="204" t="s">
        <v>85</v>
      </c>
      <c r="E32" s="204" t="s">
        <v>79</v>
      </c>
      <c r="F32" s="204" t="s">
        <v>77</v>
      </c>
      <c r="G32" s="204" t="s">
        <v>78</v>
      </c>
      <c r="H32" s="1"/>
      <c r="I32" s="1"/>
      <c r="J32"/>
      <c r="K32" s="496"/>
      <c r="L32" s="494"/>
      <c r="M32" s="494"/>
      <c r="N32" s="494"/>
      <c r="O32" s="495"/>
    </row>
    <row r="33" spans="1:19" ht="13.5" customHeight="1">
      <c r="A33" s="189" t="str">
        <f>INDEX('Aides traitements'!$A$5:$A$26,'Page de garde'!$C$4,1)</f>
        <v>Paul Bert</v>
      </c>
      <c r="B33" s="304">
        <f>VLOOKUP($A33,'Base de données'!$MC$9:$MU$91,14,FALSE)/(VLOOKUP($A33,'Base de données'!$MC$9:$MU$91,14,FALSE)+VLOOKUP($A33,'Base de données'!$MC$9:$MU$91,15,FALSE)+VLOOKUP($A33,'Base de données'!$MC$9:$MU$91,16,FALSE)+VLOOKUP($A33,'Base de données'!$MC$9:$MU$91,17,FALSE)+VLOOKUP($A33,'Base de données'!$MC$9:$MU$91,18,FALSE)+VLOOKUP($A33,'Base de données'!$MC$9:$MU$91,19,FALSE))</f>
        <v>0</v>
      </c>
      <c r="C33" s="304">
        <f>VLOOKUP($A33,'Base de données'!$MC$9:$MU$91,15,FALSE)/(VLOOKUP($A33,'Base de données'!$MC$9:$MU$91,14,FALSE)+VLOOKUP($A33,'Base de données'!$MC$9:$MU$91,15,FALSE)+VLOOKUP($A33,'Base de données'!$MC$9:$MU$91,16,FALSE)+VLOOKUP($A33,'Base de données'!$MC$9:$MU$91,17,FALSE)+VLOOKUP($A33,'Base de données'!$MC$9:$MU$91,18,FALSE)+VLOOKUP($A33,'Base de données'!$MC$9:$MU$91,19,FALSE))</f>
        <v>6.5714638137848155E-2</v>
      </c>
      <c r="D33" s="304">
        <f>VLOOKUP($A33,'Base de données'!$MC$9:$MU$91,16,FALSE)/(VLOOKUP($A33,'Base de données'!$MC$9:$MU$91,14,FALSE)+VLOOKUP($A33,'Base de données'!$MC$9:$MU$91,15,FALSE)+VLOOKUP($A33,'Base de données'!$MC$9:$MU$91,16,FALSE)+VLOOKUP($A33,'Base de données'!$MC$9:$MU$91,17,FALSE)+VLOOKUP($A33,'Base de données'!$MC$9:$MU$91,18,FALSE)+VLOOKUP($A33,'Base de données'!$MC$9:$MU$91,19,FALSE))</f>
        <v>0.28913319864294651</v>
      </c>
      <c r="E33" s="304">
        <f>VLOOKUP($A33,'Base de données'!$MC$9:$MU$91,17,FALSE)/(VLOOKUP($A33,'Base de données'!$MC$9:$MU$91,14,FALSE)+VLOOKUP($A33,'Base de données'!$MC$9:$MU$91,15,FALSE)+VLOOKUP($A33,'Base de données'!$MC$9:$MU$91,16,FALSE)+VLOOKUP($A33,'Base de données'!$MC$9:$MU$91,17,FALSE)+VLOOKUP($A33,'Base de données'!$MC$9:$MU$91,18,FALSE)+VLOOKUP($A33,'Base de données'!$MC$9:$MU$91,19,FALSE))</f>
        <v>0.31207142571352492</v>
      </c>
      <c r="F33" s="304">
        <f>VLOOKUP($A33,'Base de données'!$MC$9:$MU$91,18,FALSE)/(VLOOKUP($A33,'Base de données'!$MC$9:$MU$91,14,FALSE)+VLOOKUP($A33,'Base de données'!$MC$9:$MU$91,15,FALSE)+VLOOKUP($A33,'Base de données'!$MC$9:$MU$91,16,FALSE)+VLOOKUP($A33,'Base de données'!$MC$9:$MU$91,17,FALSE)+VLOOKUP($A33,'Base de données'!$MC$9:$MU$91,18,FALSE)+VLOOKUP($A33,'Base de données'!$MC$9:$MU$91,19,FALSE))</f>
        <v>0.21278889885288427</v>
      </c>
      <c r="G33" s="304">
        <f>VLOOKUP($A33,'Base de données'!$MC$9:$MU$91,19,FALSE)/(VLOOKUP($A33,'Base de données'!$MC$9:$MU$91,14,FALSE)+VLOOKUP($A33,'Base de données'!$MC$9:$MU$91,15,FALSE)+VLOOKUP($A33,'Base de données'!$MC$9:$MU$91,16,FALSE)+VLOOKUP($A33,'Base de données'!$MC$9:$MU$91,17,FALSE)+VLOOKUP($A33,'Base de données'!$MC$9:$MU$91,18,FALSE)+VLOOKUP($A33,'Base de données'!$MC$9:$MU$91,19,FALSE))</f>
        <v>0.12029183865279625</v>
      </c>
      <c r="H33"/>
      <c r="I33" s="1"/>
      <c r="J33"/>
      <c r="K33" s="496"/>
      <c r="L33" s="494"/>
      <c r="M33" s="494"/>
      <c r="N33" s="494"/>
      <c r="O33" s="495"/>
    </row>
    <row r="34" spans="1:19" ht="34.5" customHeight="1">
      <c r="A34" s="190" t="str">
        <f>VLOOKUP(A33,'Aides traitements'!$A$5:$B$26,2,FALSE)</f>
        <v>Tours nord</v>
      </c>
      <c r="B34" s="123">
        <f>VLOOKUP($A34,'Base de données'!$MC$9:$MU$91,14,FALSE)/(VLOOKUP($A34,'Base de données'!$MC$9:$MU$91,14,FALSE)+VLOOKUP($A34,'Base de données'!$MC$9:$MU$91,15,FALSE)+VLOOKUP($A34,'Base de données'!$MC$9:$MU$91,16,FALSE)+VLOOKUP($A34,'Base de données'!$MC$9:$MU$91,17,FALSE)+VLOOKUP($A34,'Base de données'!$MC$9:$MU$91,18,FALSE)+VLOOKUP($A34,'Base de données'!$MC$9:$MU$91,19,FALSE))</f>
        <v>5.8987689007967369E-5</v>
      </c>
      <c r="C34" s="123">
        <f>VLOOKUP($A34,'Base de données'!$MC$9:$MU$91,15,FALSE)/(VLOOKUP($A34,'Base de données'!$MC$9:$MU$91,14,FALSE)+VLOOKUP($A34,'Base de données'!$MC$9:$MU$91,15,FALSE)+VLOOKUP($A34,'Base de données'!$MC$9:$MU$91,16,FALSE)+VLOOKUP($A34,'Base de données'!$MC$9:$MU$91,17,FALSE)+VLOOKUP($A34,'Base de données'!$MC$9:$MU$91,18,FALSE)+VLOOKUP($A34,'Base de données'!$MC$9:$MU$91,19,FALSE))</f>
        <v>4.106741843756264E-2</v>
      </c>
      <c r="D34" s="123">
        <f>VLOOKUP($A34,'Base de données'!$MC$9:$MU$91,16,FALSE)/(VLOOKUP($A34,'Base de données'!$MC$9:$MU$91,14,FALSE)+VLOOKUP($A34,'Base de données'!$MC$9:$MU$91,15,FALSE)+VLOOKUP($A34,'Base de données'!$MC$9:$MU$91,16,FALSE)+VLOOKUP($A34,'Base de données'!$MC$9:$MU$91,17,FALSE)+VLOOKUP($A34,'Base de données'!$MC$9:$MU$91,18,FALSE)+VLOOKUP($A34,'Base de données'!$MC$9:$MU$91,19,FALSE))</f>
        <v>0.15981285218907118</v>
      </c>
      <c r="E34" s="123">
        <f>VLOOKUP($A34,'Base de données'!$MC$9:$MU$91,17,FALSE)/(VLOOKUP($A34,'Base de données'!$MC$9:$MU$91,14,FALSE)+VLOOKUP($A34,'Base de données'!$MC$9:$MU$91,15,FALSE)+VLOOKUP($A34,'Base de données'!$MC$9:$MU$91,16,FALSE)+VLOOKUP($A34,'Base de données'!$MC$9:$MU$91,17,FALSE)+VLOOKUP($A34,'Base de données'!$MC$9:$MU$91,18,FALSE)+VLOOKUP($A34,'Base de données'!$MC$9:$MU$91,19,FALSE))</f>
        <v>0.29093653756927074</v>
      </c>
      <c r="F34" s="123">
        <f>VLOOKUP($A34,'Base de données'!$MC$9:$MU$91,18,FALSE)/(VLOOKUP($A34,'Base de données'!$MC$9:$MU$91,14,FALSE)+VLOOKUP($A34,'Base de données'!$MC$9:$MU$91,15,FALSE)+VLOOKUP($A34,'Base de données'!$MC$9:$MU$91,16,FALSE)+VLOOKUP($A34,'Base de données'!$MC$9:$MU$91,17,FALSE)+VLOOKUP($A34,'Base de données'!$MC$9:$MU$91,18,FALSE)+VLOOKUP($A34,'Base de données'!$MC$9:$MU$91,19,FALSE))</f>
        <v>0.32295355855251057</v>
      </c>
      <c r="G34" s="123">
        <f>VLOOKUP($A34,'Base de données'!$MC$9:$MU$91,19,FALSE)/(VLOOKUP($A34,'Base de données'!$MC$9:$MU$91,14,FALSE)+VLOOKUP($A34,'Base de données'!$MC$9:$MU$91,15,FALSE)+VLOOKUP($A34,'Base de données'!$MC$9:$MU$91,16,FALSE)+VLOOKUP($A34,'Base de données'!$MC$9:$MU$91,17,FALSE)+VLOOKUP($A34,'Base de données'!$MC$9:$MU$91,18,FALSE)+VLOOKUP($A34,'Base de données'!$MC$9:$MU$91,19,FALSE))</f>
        <v>0.18517064556257692</v>
      </c>
      <c r="H34"/>
      <c r="I34" s="1"/>
      <c r="J34"/>
      <c r="K34" s="496"/>
      <c r="L34" s="494"/>
      <c r="M34" s="494"/>
      <c r="N34" s="494"/>
      <c r="O34" s="495"/>
    </row>
    <row r="35" spans="1:19" ht="13.2" customHeight="1">
      <c r="A35" s="190" t="s">
        <v>0</v>
      </c>
      <c r="B35" s="123">
        <f>VLOOKUP($A35,'Base de données'!$MC$9:$MU$91,14,FALSE)/(VLOOKUP($A35,'Base de données'!$MC$9:$MU$91,14,FALSE)+VLOOKUP($A35,'Base de données'!$MC$9:$MU$91,15,FALSE)+VLOOKUP($A35,'Base de données'!$MC$9:$MU$91,16,FALSE)+VLOOKUP($A35,'Base de données'!$MC$9:$MU$91,17,FALSE)+VLOOKUP($A35,'Base de données'!$MC$9:$MU$91,18,FALSE)+VLOOKUP($A35,'Base de données'!$MC$9:$MU$91,19,FALSE))</f>
        <v>3.3737523744612272E-4</v>
      </c>
      <c r="C35" s="123">
        <f>VLOOKUP($A35,'Base de données'!$MC$9:$MU$91,15,FALSE)/(VLOOKUP($A35,'Base de données'!$MC$9:$MU$91,14,FALSE)+VLOOKUP($A35,'Base de données'!$MC$9:$MU$91,15,FALSE)+VLOOKUP($A35,'Base de données'!$MC$9:$MU$91,16,FALSE)+VLOOKUP($A35,'Base de données'!$MC$9:$MU$91,17,FALSE)+VLOOKUP($A35,'Base de données'!$MC$9:$MU$91,18,FALSE)+VLOOKUP($A35,'Base de données'!$MC$9:$MU$91,19,FALSE))</f>
        <v>4.2957286674014661E-2</v>
      </c>
      <c r="D35" s="123">
        <f>VLOOKUP($A35,'Base de données'!$MC$9:$MU$91,16,FALSE)/(VLOOKUP($A35,'Base de données'!$MC$9:$MU$91,14,FALSE)+VLOOKUP($A35,'Base de données'!$MC$9:$MU$91,15,FALSE)+VLOOKUP($A35,'Base de données'!$MC$9:$MU$91,16,FALSE)+VLOOKUP($A35,'Base de données'!$MC$9:$MU$91,17,FALSE)+VLOOKUP($A35,'Base de données'!$MC$9:$MU$91,18,FALSE)+VLOOKUP($A35,'Base de données'!$MC$9:$MU$91,19,FALSE))</f>
        <v>0.23404718065626512</v>
      </c>
      <c r="E35" s="123">
        <f>VLOOKUP($A35,'Base de données'!$MC$9:$MU$91,17,FALSE)/(VLOOKUP($A35,'Base de données'!$MC$9:$MU$91,14,FALSE)+VLOOKUP($A35,'Base de données'!$MC$9:$MU$91,15,FALSE)+VLOOKUP($A35,'Base de données'!$MC$9:$MU$91,16,FALSE)+VLOOKUP($A35,'Base de données'!$MC$9:$MU$91,17,FALSE)+VLOOKUP($A35,'Base de données'!$MC$9:$MU$91,18,FALSE)+VLOOKUP($A35,'Base de données'!$MC$9:$MU$91,19,FALSE))</f>
        <v>0.28419444373400177</v>
      </c>
      <c r="F35" s="123">
        <f>VLOOKUP($A35,'Base de données'!$MC$9:$MU$91,18,FALSE)/(VLOOKUP($A35,'Base de données'!$MC$9:$MU$91,14,FALSE)+VLOOKUP($A35,'Base de données'!$MC$9:$MU$91,15,FALSE)+VLOOKUP($A35,'Base de données'!$MC$9:$MU$91,16,FALSE)+VLOOKUP($A35,'Base de données'!$MC$9:$MU$91,17,FALSE)+VLOOKUP($A35,'Base de données'!$MC$9:$MU$91,18,FALSE)+VLOOKUP($A35,'Base de données'!$MC$9:$MU$91,19,FALSE))</f>
        <v>0.28148654722091038</v>
      </c>
      <c r="G35" s="123">
        <f>VLOOKUP($A35,'Base de données'!$MC$9:$MU$91,19,FALSE)/(VLOOKUP($A35,'Base de données'!$MC$9:$MU$91,14,FALSE)+VLOOKUP($A35,'Base de données'!$MC$9:$MU$91,15,FALSE)+VLOOKUP($A35,'Base de données'!$MC$9:$MU$91,16,FALSE)+VLOOKUP($A35,'Base de données'!$MC$9:$MU$91,17,FALSE)+VLOOKUP($A35,'Base de données'!$MC$9:$MU$91,18,FALSE)+VLOOKUP($A35,'Base de données'!$MC$9:$MU$91,19,FALSE))</f>
        <v>0.15697716647736196</v>
      </c>
      <c r="H35"/>
      <c r="I35" s="1"/>
      <c r="J35"/>
      <c r="K35" s="496"/>
      <c r="L35" s="494"/>
      <c r="M35" s="494"/>
      <c r="N35" s="494"/>
      <c r="O35" s="495"/>
    </row>
    <row r="36" spans="1:19" ht="13.2" customHeight="1">
      <c r="A36" s="836" t="s">
        <v>304</v>
      </c>
      <c r="B36" s="849"/>
      <c r="C36" s="849"/>
      <c r="D36" s="849"/>
      <c r="E36" s="849"/>
      <c r="F36" s="849"/>
      <c r="G36" s="849"/>
      <c r="H36" s="10"/>
      <c r="I36" s="1"/>
      <c r="J36"/>
      <c r="K36" s="496"/>
      <c r="L36" s="494"/>
      <c r="M36" s="494"/>
      <c r="N36" s="494"/>
      <c r="O36" s="495"/>
    </row>
    <row r="37" spans="1:19" ht="13.2" customHeight="1">
      <c r="A37" s="104" t="str">
        <f>CONCATENATE("Source : Insee, RP",'Aides traitements'!$I$11," exploitation principale et complémentaire - lieu de résidence                     Champ : Personnes âgées de 15 à 64 ans.")</f>
        <v>Source : Insee, RP2020 exploitation principale et complémentaire - lieu de résidence                     Champ : Personnes âgées de 15 à 64 ans.</v>
      </c>
      <c r="B37"/>
      <c r="C37"/>
      <c r="D37"/>
      <c r="E37"/>
      <c r="F37"/>
      <c r="G37"/>
      <c r="H37"/>
      <c r="I37"/>
      <c r="J37"/>
      <c r="K37" s="496"/>
      <c r="L37" s="494"/>
      <c r="M37" s="494"/>
      <c r="N37" s="494"/>
      <c r="O37" s="495"/>
    </row>
    <row r="38" spans="1:19" s="1" customFormat="1" ht="13.2" customHeight="1">
      <c r="A38" s="1429" t="str">
        <f>IF(B26="s","s = secret statistique","")</f>
        <v/>
      </c>
      <c r="B38" s="1429"/>
      <c r="C38" s="1429"/>
      <c r="D38" s="1429"/>
      <c r="E38" s="1429"/>
      <c r="F38" s="1429"/>
      <c r="G38" s="1429"/>
      <c r="H38"/>
      <c r="I38"/>
      <c r="J38"/>
      <c r="K38" s="496"/>
      <c r="L38" s="494"/>
      <c r="M38" s="494"/>
      <c r="N38" s="494"/>
      <c r="O38" s="495"/>
    </row>
    <row r="39" spans="1:19" s="1" customFormat="1" ht="10.5" customHeight="1">
      <c r="A39" s="20"/>
      <c r="B39" s="20"/>
      <c r="C39" s="20"/>
      <c r="D39" s="20"/>
      <c r="E39" s="20"/>
      <c r="F39" s="20"/>
      <c r="J39"/>
      <c r="K39" s="496"/>
      <c r="L39" s="494"/>
      <c r="M39" s="494"/>
      <c r="N39" s="494"/>
      <c r="O39" s="495"/>
    </row>
    <row r="40" spans="1:19" ht="14.25" customHeight="1">
      <c r="A40" s="1430" t="str">
        <f>CONCATENATE("Statut des actifs ayant un emploi âgés de 15 ans ou plus en ",'Aides traitements'!$I$11)</f>
        <v>Statut des actifs ayant un emploi âgés de 15 ans ou plus en 2020</v>
      </c>
      <c r="B40" s="1407" t="s">
        <v>86</v>
      </c>
      <c r="C40" s="1407"/>
      <c r="D40" s="1407"/>
      <c r="E40" s="1412" t="s">
        <v>189</v>
      </c>
      <c r="F40" s="1412"/>
      <c r="K40" s="496"/>
      <c r="L40" s="494"/>
      <c r="M40" s="494"/>
      <c r="N40" s="494"/>
      <c r="O40" s="495"/>
    </row>
    <row r="41" spans="1:19" ht="26.4" customHeight="1">
      <c r="A41" s="1431"/>
      <c r="B41" s="965" t="s">
        <v>192</v>
      </c>
      <c r="C41" s="988" t="s">
        <v>66</v>
      </c>
      <c r="D41" s="989" t="s">
        <v>67</v>
      </c>
      <c r="E41" s="964" t="s">
        <v>66</v>
      </c>
      <c r="F41" s="964" t="s">
        <v>67</v>
      </c>
      <c r="K41" s="497" t="str">
        <f>CONCATENATE("Part des non salariés de 15 ans ou plus
en ",INDEX('Aides traitements'!$E$4:$E$5,'Page de garde'!$G$4,1)," et ",'Aides traitements'!$I$11)</f>
        <v>Part des non salariés de 15 ans ou plus
en 2009 et 2020</v>
      </c>
      <c r="L41" s="494"/>
      <c r="M41" s="494"/>
      <c r="N41" s="494"/>
      <c r="O41" s="495"/>
    </row>
    <row r="42" spans="1:19" ht="13.5" customHeight="1">
      <c r="A42" s="189" t="str">
        <f>INDEX('Aides traitements'!$A$5:$A$26,'Page de garde'!$C$4,1)</f>
        <v>Paul Bert</v>
      </c>
      <c r="B42" s="932">
        <f>VLOOKUP($A42,'Base de données'!$MW$9:$NF$91,8,FALSE)</f>
        <v>1348.24922956201</v>
      </c>
      <c r="C42" s="990">
        <f>VLOOKUP($A42,'Base de données'!$MW$9:$NF$91,9,FALSE)</f>
        <v>1150.09865047575</v>
      </c>
      <c r="D42" s="991">
        <f>VLOOKUP($A42,'Base de données'!$MW$9:$NF$91,10,FALSE)</f>
        <v>198.15057908625701</v>
      </c>
      <c r="E42" s="992">
        <f t="shared" ref="E42:F44" si="3">C42/$B42</f>
        <v>0.85303119427657237</v>
      </c>
      <c r="F42" s="992">
        <f t="shared" si="3"/>
        <v>0.14696880572342538</v>
      </c>
      <c r="G42"/>
      <c r="K42" s="496"/>
      <c r="L42" s="494"/>
      <c r="M42" s="494"/>
      <c r="N42" s="494"/>
      <c r="O42" s="495"/>
    </row>
    <row r="43" spans="1:19" s="1" customFormat="1" ht="36" customHeight="1">
      <c r="A43" s="190" t="str">
        <f>VLOOKUP(A42,'Aides traitements'!$A$5:$B$26,2,FALSE)</f>
        <v>Tours nord</v>
      </c>
      <c r="B43" s="952">
        <f>VLOOKUP($A43,'Base de données'!$MW$9:$NF$91,8,FALSE)</f>
        <v>17862.469699316462</v>
      </c>
      <c r="C43" s="993">
        <f>VLOOKUP($A43,'Base de données'!$MW$9:$NF$91,9,FALSE)</f>
        <v>16422.413695112129</v>
      </c>
      <c r="D43" s="994">
        <f>VLOOKUP($A43,'Base de données'!$MW$9:$NF$91,10,FALSE)</f>
        <v>1440.0560042043383</v>
      </c>
      <c r="E43" s="995">
        <f t="shared" si="3"/>
        <v>0.91938091269319611</v>
      </c>
      <c r="F43" s="995">
        <f t="shared" si="3"/>
        <v>8.0619087306804199E-2</v>
      </c>
      <c r="G43"/>
      <c r="H43" s="28"/>
      <c r="I43" s="28"/>
      <c r="J43" s="19"/>
      <c r="K43" s="496"/>
      <c r="L43" s="494"/>
      <c r="M43" s="494"/>
      <c r="N43" s="494"/>
      <c r="O43" s="495"/>
    </row>
    <row r="44" spans="1:19" s="1" customFormat="1" ht="13.2" customHeight="1">
      <c r="A44" s="190" t="s">
        <v>0</v>
      </c>
      <c r="B44" s="952">
        <f>VLOOKUP($A44,'Base de données'!$MW$9:$NF$91,8,FALSE)</f>
        <v>54922.214162332049</v>
      </c>
      <c r="C44" s="993">
        <f>VLOOKUP($A44,'Base de données'!$MW$9:$NF$91,9,FALSE)</f>
        <v>49139.53738606393</v>
      </c>
      <c r="D44" s="994">
        <f>VLOOKUP($A44,'Base de données'!$MW$9:$NF$91,10,FALSE)</f>
        <v>5782.6767762681256</v>
      </c>
      <c r="E44" s="995">
        <f t="shared" si="3"/>
        <v>0.89471151401186366</v>
      </c>
      <c r="F44" s="995">
        <f t="shared" si="3"/>
        <v>0.10528848598813642</v>
      </c>
      <c r="G44"/>
      <c r="H44" s="28"/>
      <c r="I44" s="28"/>
      <c r="J44" s="19"/>
      <c r="K44" s="496"/>
      <c r="L44" s="494"/>
      <c r="M44" s="494"/>
      <c r="N44" s="494"/>
      <c r="O44" s="495"/>
      <c r="P44"/>
      <c r="Q44"/>
      <c r="R44"/>
      <c r="S44"/>
    </row>
    <row r="45" spans="1:19" s="1" customFormat="1" ht="13.2" customHeight="1">
      <c r="A45" s="836" t="s">
        <v>304</v>
      </c>
      <c r="B45" s="837"/>
      <c r="C45" s="986"/>
      <c r="D45" s="903"/>
      <c r="E45" s="987"/>
      <c r="F45" s="987"/>
      <c r="G45" s="28"/>
      <c r="H45" s="28"/>
      <c r="I45" s="28"/>
      <c r="J45" s="19"/>
      <c r="K45" s="496"/>
      <c r="L45" s="494"/>
      <c r="M45" s="494"/>
      <c r="N45" s="494"/>
      <c r="O45" s="495"/>
      <c r="P45"/>
      <c r="Q45"/>
      <c r="R45"/>
      <c r="S45"/>
    </row>
    <row r="46" spans="1:19" s="1" customFormat="1" ht="13.2" customHeight="1">
      <c r="A46" s="119" t="str">
        <f>CONCATENATE("Source : Insee, RP",'Aides traitements'!$I$11," exploitation principale et complémentaire         Champ : Personnes âgées de 15 ans ou plus")</f>
        <v>Source : Insee, RP2020 exploitation principale et complémentaire         Champ : Personnes âgées de 15 ans ou plus</v>
      </c>
      <c r="B46" s="407"/>
      <c r="C46" s="407"/>
      <c r="D46" s="19"/>
      <c r="E46" s="407"/>
      <c r="F46" s="407"/>
      <c r="G46" s="28"/>
      <c r="H46" s="28"/>
      <c r="I46" s="28"/>
      <c r="J46" s="19"/>
      <c r="K46" s="496"/>
      <c r="L46" s="494"/>
      <c r="M46" s="494"/>
      <c r="N46" s="494"/>
      <c r="O46" s="495"/>
      <c r="P46"/>
      <c r="Q46"/>
      <c r="R46"/>
      <c r="S46"/>
    </row>
    <row r="47" spans="1:19" s="1" customFormat="1" ht="13.2" customHeight="1">
      <c r="A47" s="27"/>
      <c r="B47" s="28"/>
      <c r="C47" s="28"/>
      <c r="D47" s="28"/>
      <c r="E47" s="28"/>
      <c r="F47" s="28"/>
      <c r="G47" s="28"/>
      <c r="H47" s="28"/>
      <c r="I47" s="28"/>
      <c r="J47"/>
      <c r="K47" s="496"/>
      <c r="L47" s="494"/>
      <c r="M47" s="494"/>
      <c r="N47" s="494"/>
      <c r="O47" s="495"/>
      <c r="P47"/>
      <c r="Q47"/>
      <c r="R47"/>
      <c r="S47"/>
    </row>
    <row r="48" spans="1:19" s="1" customFormat="1" ht="14.25" customHeight="1">
      <c r="A48" s="27"/>
      <c r="B48" s="28"/>
      <c r="C48" s="28"/>
      <c r="D48" s="28"/>
      <c r="E48" s="28"/>
      <c r="F48" s="28"/>
      <c r="G48" s="28"/>
      <c r="H48" s="28"/>
      <c r="I48" s="28"/>
      <c r="J48"/>
      <c r="K48" s="496"/>
      <c r="L48" s="494"/>
      <c r="M48" s="494"/>
      <c r="N48" s="494"/>
      <c r="O48" s="495"/>
      <c r="P48"/>
      <c r="Q48"/>
      <c r="R48"/>
      <c r="S48"/>
    </row>
    <row r="49" spans="1:19" s="1" customFormat="1" ht="13.5" customHeight="1">
      <c r="A49" s="27"/>
      <c r="B49" s="28"/>
      <c r="C49" s="28"/>
      <c r="D49" s="28"/>
      <c r="E49" s="28"/>
      <c r="F49" s="28"/>
      <c r="G49" s="28"/>
      <c r="H49" s="28"/>
      <c r="I49" s="28"/>
      <c r="J49"/>
      <c r="K49"/>
      <c r="L49"/>
      <c r="M49"/>
      <c r="N49"/>
      <c r="O49"/>
      <c r="P49"/>
      <c r="Q49"/>
      <c r="R49"/>
      <c r="S49"/>
    </row>
    <row r="50" spans="1:19" s="1" customFormat="1" ht="36" customHeight="1">
      <c r="A50" s="1431" t="str">
        <f>CONCATENATE("Statut et condition d'emploi 
en ",'Aides traitements'!$I$11)</f>
        <v>Statut et condition d'emploi 
en 2020</v>
      </c>
      <c r="B50" s="1407" t="s">
        <v>86</v>
      </c>
      <c r="C50" s="1407"/>
      <c r="D50" s="1407"/>
      <c r="E50" s="1407"/>
      <c r="F50" s="1407"/>
      <c r="G50" s="1412" t="s">
        <v>189</v>
      </c>
      <c r="H50" s="1412"/>
      <c r="I50" s="1412"/>
      <c r="J50" s="1412"/>
      <c r="K50" s="1412"/>
      <c r="L50"/>
      <c r="M50"/>
      <c r="N50"/>
      <c r="O50"/>
      <c r="P50"/>
      <c r="Q50"/>
      <c r="R50"/>
      <c r="S50"/>
    </row>
    <row r="51" spans="1:19" ht="13.2" customHeight="1">
      <c r="A51" s="1431"/>
      <c r="B51" s="1436" t="s">
        <v>66</v>
      </c>
      <c r="C51" s="1436"/>
      <c r="D51" s="1436" t="s">
        <v>67</v>
      </c>
      <c r="E51" s="1436"/>
      <c r="F51" s="1436"/>
      <c r="G51" s="1436" t="s">
        <v>66</v>
      </c>
      <c r="H51" s="1436"/>
      <c r="I51" s="1437" t="s">
        <v>67</v>
      </c>
      <c r="J51" s="1438"/>
      <c r="K51" s="1439"/>
      <c r="L51"/>
      <c r="M51"/>
      <c r="N51"/>
      <c r="O51"/>
      <c r="P51" s="34"/>
      <c r="Q51" s="35"/>
      <c r="R51" s="34"/>
    </row>
    <row r="52" spans="1:19" ht="46.2" customHeight="1">
      <c r="A52" s="1431"/>
      <c r="B52" s="965" t="s">
        <v>260</v>
      </c>
      <c r="C52" s="965" t="s">
        <v>258</v>
      </c>
      <c r="D52" s="965" t="s">
        <v>68</v>
      </c>
      <c r="E52" s="965" t="s">
        <v>69</v>
      </c>
      <c r="F52" s="965" t="s">
        <v>231</v>
      </c>
      <c r="G52" s="964" t="s">
        <v>261</v>
      </c>
      <c r="H52" s="964" t="s">
        <v>259</v>
      </c>
      <c r="I52" s="964" t="s">
        <v>68</v>
      </c>
      <c r="J52" s="964" t="s">
        <v>69</v>
      </c>
      <c r="K52" s="964" t="s">
        <v>231</v>
      </c>
      <c r="L52"/>
      <c r="M52"/>
      <c r="N52"/>
      <c r="O52"/>
      <c r="P52" s="34"/>
      <c r="Q52" s="35"/>
      <c r="R52" s="34"/>
    </row>
    <row r="53" spans="1:19" ht="13.2" customHeight="1">
      <c r="A53" s="189" t="str">
        <f>INDEX('Aides traitements'!$A$5:$A$26,'Page de garde'!$C$4,1)</f>
        <v>Paul Bert</v>
      </c>
      <c r="B53" s="932">
        <f>VLOOKUP($A53,'Base de données'!$NH$9:$NR$91,7,FALSE)</f>
        <v>888.76599396824599</v>
      </c>
      <c r="C53" s="932">
        <f>VLOOKUP($A53,'Base de données'!$NH$9:$NR$91,8,FALSE)</f>
        <v>261.33265650750559</v>
      </c>
      <c r="D53" s="932">
        <f>VLOOKUP($A53,'Base de données'!$NH$9:$NR$91,9,FALSE)</f>
        <v>117.979775040677</v>
      </c>
      <c r="E53" s="932">
        <f>VLOOKUP($A53,'Base de données'!$NH$9:$NR$91,10,FALSE)</f>
        <v>76.8285761474433</v>
      </c>
      <c r="F53" s="932">
        <f>VLOOKUP($A53,'Base de données'!$NH$9:$NR$91,11,FALSE)</f>
        <v>3.34222789813587</v>
      </c>
      <c r="G53" s="992">
        <f t="shared" ref="G53:K55" si="4">B53/SUM($B53:$F53)</f>
        <v>0.65920007553571569</v>
      </c>
      <c r="H53" s="992">
        <f t="shared" si="4"/>
        <v>0.19383111874085932</v>
      </c>
      <c r="I53" s="992">
        <f t="shared" si="4"/>
        <v>8.7505909481590372E-2</v>
      </c>
      <c r="J53" s="992">
        <f t="shared" si="4"/>
        <v>5.6983957018393282E-2</v>
      </c>
      <c r="K53" s="992">
        <f t="shared" si="4"/>
        <v>2.4789392234413708E-3</v>
      </c>
      <c r="L53"/>
      <c r="M53"/>
      <c r="N53"/>
      <c r="O53"/>
      <c r="P53" s="34"/>
      <c r="Q53" s="35"/>
      <c r="R53" s="34"/>
    </row>
    <row r="54" spans="1:19" ht="13.2" customHeight="1">
      <c r="A54" s="190" t="str">
        <f>VLOOKUP(A53,'Aides traitements'!$A$5:$B$26,2,FALSE)</f>
        <v>Tours nord</v>
      </c>
      <c r="B54" s="952">
        <f>VLOOKUP($A54,'Base de données'!$NH$9:$NR$91,7,FALSE)</f>
        <v>13373.631224180685</v>
      </c>
      <c r="C54" s="952">
        <f>VLOOKUP($A54,'Base de données'!$NH$9:$NR$91,8,FALSE)</f>
        <v>3048.7824709314336</v>
      </c>
      <c r="D54" s="952">
        <f>VLOOKUP($A54,'Base de données'!$NH$9:$NR$91,9,FALSE)</f>
        <v>942.30425392146094</v>
      </c>
      <c r="E54" s="952">
        <f>VLOOKUP($A54,'Base de données'!$NH$9:$NR$91,10,FALSE)</f>
        <v>475.89465166191957</v>
      </c>
      <c r="F54" s="952">
        <f>VLOOKUP($A54,'Base de données'!$NH$9:$NR$91,11,FALSE)</f>
        <v>21.857098620957593</v>
      </c>
      <c r="G54" s="995">
        <f t="shared" si="4"/>
        <v>0.74870000897426048</v>
      </c>
      <c r="H54" s="995">
        <f t="shared" si="4"/>
        <v>0.17068090371893546</v>
      </c>
      <c r="I54" s="995">
        <f t="shared" si="4"/>
        <v>5.275330174290066E-2</v>
      </c>
      <c r="J54" s="995">
        <f t="shared" si="4"/>
        <v>2.6642153054576248E-2</v>
      </c>
      <c r="K54" s="995">
        <f t="shared" si="4"/>
        <v>1.2236325093273076E-3</v>
      </c>
      <c r="L54"/>
      <c r="M54"/>
      <c r="N54"/>
      <c r="O54"/>
      <c r="P54" s="34"/>
      <c r="Q54" s="35"/>
      <c r="R54" s="34"/>
    </row>
    <row r="55" spans="1:19" ht="10.5" customHeight="1">
      <c r="A55" s="190" t="s">
        <v>0</v>
      </c>
      <c r="B55" s="952">
        <f>VLOOKUP($A55,'Base de données'!$NH$9:$NR$91,7,FALSE)</f>
        <v>37695.390536585124</v>
      </c>
      <c r="C55" s="952">
        <f>VLOOKUP($A55,'Base de données'!$NH$9:$NR$91,8,FALSE)</f>
        <v>11444.14684947879</v>
      </c>
      <c r="D55" s="952">
        <f>VLOOKUP($A55,'Base de données'!$NH$9:$NR$91,9,FALSE)</f>
        <v>3820.1929376028643</v>
      </c>
      <c r="E55" s="952">
        <f>VLOOKUP($A55,'Base de données'!$NH$9:$NR$91,10,FALSE)</f>
        <v>1904.5203008359931</v>
      </c>
      <c r="F55" s="952">
        <f>VLOOKUP($A55,'Base de données'!$NH$9:$NR$91,11,FALSE)</f>
        <v>57.963537829268915</v>
      </c>
      <c r="G55" s="995">
        <f t="shared" si="4"/>
        <v>0.68634142143595889</v>
      </c>
      <c r="H55" s="995">
        <f t="shared" si="4"/>
        <v>0.20837009257590466</v>
      </c>
      <c r="I55" s="995">
        <f t="shared" si="4"/>
        <v>6.9556426226947576E-2</v>
      </c>
      <c r="J55" s="995">
        <f t="shared" si="4"/>
        <v>3.4676684650892915E-2</v>
      </c>
      <c r="K55" s="995">
        <f t="shared" si="4"/>
        <v>1.0553751102959491E-3</v>
      </c>
      <c r="L55"/>
      <c r="M55"/>
      <c r="N55"/>
      <c r="O55"/>
      <c r="P55" s="34"/>
    </row>
    <row r="56" spans="1:19" ht="14.25" customHeight="1">
      <c r="A56" s="836" t="s">
        <v>304</v>
      </c>
      <c r="B56" s="837"/>
      <c r="C56" s="837"/>
      <c r="D56" s="837"/>
      <c r="E56" s="837"/>
      <c r="F56" s="837"/>
      <c r="G56" s="849"/>
      <c r="H56" s="849"/>
      <c r="I56" s="849"/>
      <c r="J56" s="849"/>
      <c r="K56" s="849"/>
      <c r="L56"/>
      <c r="M56"/>
      <c r="N56"/>
      <c r="O56"/>
      <c r="P56" s="34"/>
    </row>
    <row r="57" spans="1:19" s="1" customFormat="1" ht="14.25" customHeight="1">
      <c r="A57" s="119" t="str">
        <f>CONCATENATE("Source : Insee, RP",'Aides traitements'!$I$11," exploitation principale et complémentaire         Champ : Personnes âgées de 15 ans ou plus")</f>
        <v>Source : Insee, RP2020 exploitation principale et complémentaire         Champ : Personnes âgées de 15 ans ou plus</v>
      </c>
      <c r="B57" s="28"/>
      <c r="C57" s="28"/>
      <c r="D57" s="28"/>
      <c r="E57" s="28"/>
      <c r="F57" s="28"/>
      <c r="G57" s="28"/>
      <c r="H57" s="28"/>
      <c r="I57" s="28"/>
      <c r="J57"/>
      <c r="K57"/>
      <c r="L57"/>
      <c r="M57"/>
      <c r="N57"/>
      <c r="O57"/>
    </row>
    <row r="58" spans="1:19" ht="13.5" customHeight="1">
      <c r="A58" s="27"/>
      <c r="B58" s="28"/>
      <c r="C58" s="28"/>
      <c r="D58" s="28"/>
      <c r="E58" s="28"/>
      <c r="F58" s="28"/>
      <c r="G58" s="28"/>
      <c r="H58" s="28"/>
      <c r="I58" s="28"/>
      <c r="J58"/>
      <c r="K58"/>
      <c r="L58"/>
      <c r="M58"/>
      <c r="N58"/>
      <c r="O58"/>
      <c r="P58" s="1"/>
      <c r="Q58" s="1"/>
      <c r="R58" s="1"/>
    </row>
    <row r="59" spans="1:19" ht="25.2" customHeight="1"/>
    <row r="60" spans="1:19" ht="13.2" customHeight="1"/>
    <row r="61" spans="1:19" ht="13.2" customHeight="1">
      <c r="A61" s="1431" t="str">
        <f>CONCATENATE("Focus sur la ''précarité'' des salariés en ",'Aides traitements'!$I$11)</f>
        <v>Focus sur la ''précarité'' des salariés en 2020</v>
      </c>
      <c r="B61" s="1236" t="s">
        <v>86</v>
      </c>
      <c r="C61" s="1237"/>
      <c r="D61" s="1237"/>
      <c r="E61" s="1394"/>
      <c r="F61" s="1417" t="s">
        <v>189</v>
      </c>
      <c r="G61" s="1418"/>
      <c r="H61" s="1418"/>
      <c r="I61" s="1419"/>
      <c r="J61"/>
      <c r="K61"/>
      <c r="L61"/>
      <c r="M61"/>
      <c r="N61"/>
      <c r="O61"/>
    </row>
    <row r="62" spans="1:19" ht="42.6" customHeight="1">
      <c r="A62" s="1431"/>
      <c r="B62" s="196" t="s">
        <v>230</v>
      </c>
      <c r="C62" s="425" t="s">
        <v>72</v>
      </c>
      <c r="D62" s="425" t="s">
        <v>232</v>
      </c>
      <c r="E62" s="425" t="s">
        <v>233</v>
      </c>
      <c r="F62" s="438" t="s">
        <v>230</v>
      </c>
      <c r="G62" s="401" t="s">
        <v>72</v>
      </c>
      <c r="H62" s="401" t="s">
        <v>232</v>
      </c>
      <c r="I62" s="401" t="s">
        <v>233</v>
      </c>
      <c r="J62"/>
      <c r="K62"/>
      <c r="L62"/>
      <c r="M62"/>
      <c r="N62"/>
      <c r="O62"/>
    </row>
    <row r="63" spans="1:19" ht="13.2" customHeight="1">
      <c r="A63" s="189" t="str">
        <f>INDEX('Aides traitements'!$A$5:$A$26,'Page de garde'!$C$4,1)</f>
        <v>Paul Bert</v>
      </c>
      <c r="B63" s="187">
        <f>VLOOKUP($A63,'Base de données'!$NT$9:$OB$91,6,FALSE)</f>
        <v>177.87307551715799</v>
      </c>
      <c r="C63" s="187">
        <f>VLOOKUP($A63,'Base de données'!$NT$9:$OB$91,7,FALSE)</f>
        <v>26.728641976096601</v>
      </c>
      <c r="D63" s="187">
        <f>VLOOKUP($A63,'Base de données'!$NT$9:$OB$91,8,FALSE)</f>
        <v>3.0025149194526102</v>
      </c>
      <c r="E63" s="187">
        <f>VLOOKUP($A63,'Base de données'!$NT$9:$OB$91,9,FALSE)</f>
        <v>53.728424094798399</v>
      </c>
      <c r="F63" s="436">
        <f t="shared" ref="F63:I65" si="5">B63/SUM($B63:$E63)</f>
        <v>0.68063853134271179</v>
      </c>
      <c r="G63" s="304">
        <f t="shared" si="5"/>
        <v>0.10227823163512266</v>
      </c>
      <c r="H63" s="304">
        <f t="shared" si="5"/>
        <v>1.1489245008942757E-2</v>
      </c>
      <c r="I63" s="304">
        <f t="shared" si="5"/>
        <v>0.20559399201322279</v>
      </c>
      <c r="J63"/>
      <c r="K63"/>
      <c r="L63"/>
      <c r="M63"/>
      <c r="N63"/>
      <c r="O63"/>
    </row>
    <row r="64" spans="1:19" ht="10.5" customHeight="1">
      <c r="A64" s="190" t="str">
        <f>VLOOKUP(A63,'Aides traitements'!$A$5:$B$26,2,FALSE)</f>
        <v>Tours nord</v>
      </c>
      <c r="B64" s="84">
        <f>VLOOKUP($A64,'Base de données'!$NT$9:$OB$91,6,FALSE)</f>
        <v>1875.4534044672159</v>
      </c>
      <c r="C64" s="84">
        <f>VLOOKUP($A64,'Base de données'!$NT$9:$OB$91,7,FALSE)</f>
        <v>460.31168338591573</v>
      </c>
      <c r="D64" s="84">
        <f>VLOOKUP($A64,'Base de données'!$NT$9:$OB$91,8,FALSE)</f>
        <v>106.48811567419945</v>
      </c>
      <c r="E64" s="84">
        <f>VLOOKUP($A64,'Base de données'!$NT$9:$OB$91,9,FALSE)</f>
        <v>606.52926740410282</v>
      </c>
      <c r="F64" s="437">
        <f t="shared" si="5"/>
        <v>0.61514831653248314</v>
      </c>
      <c r="G64" s="123">
        <f t="shared" si="5"/>
        <v>0.15098213394190954</v>
      </c>
      <c r="H64" s="123">
        <f t="shared" si="5"/>
        <v>3.4928079221626544E-2</v>
      </c>
      <c r="I64" s="123">
        <f t="shared" si="5"/>
        <v>0.19894147030398071</v>
      </c>
      <c r="J64"/>
      <c r="K64"/>
      <c r="L64"/>
      <c r="M64"/>
      <c r="N64"/>
      <c r="O64"/>
    </row>
    <row r="65" spans="1:15" ht="14.25" customHeight="1">
      <c r="A65" s="190" t="s">
        <v>0</v>
      </c>
      <c r="B65" s="84">
        <f>VLOOKUP($A65,'Base de données'!$NT$9:$OB$91,6,FALSE)</f>
        <v>6898.6120645437295</v>
      </c>
      <c r="C65" s="84">
        <f>VLOOKUP($A65,'Base de données'!$NT$9:$OB$91,7,FALSE)</f>
        <v>1404.7120748517352</v>
      </c>
      <c r="D65" s="84">
        <f>VLOOKUP($A65,'Base de données'!$NT$9:$OB$91,8,FALSE)</f>
        <v>336.05271736643738</v>
      </c>
      <c r="E65" s="84">
        <f>VLOOKUP($A65,'Base de données'!$NT$9:$OB$91,9,FALSE)</f>
        <v>2804.7699927168883</v>
      </c>
      <c r="F65" s="437">
        <f t="shared" si="5"/>
        <v>0.60280702050392843</v>
      </c>
      <c r="G65" s="123">
        <f t="shared" si="5"/>
        <v>0.12274502357645917</v>
      </c>
      <c r="H65" s="123">
        <f t="shared" si="5"/>
        <v>2.936459325334002E-2</v>
      </c>
      <c r="I65" s="123">
        <f t="shared" si="5"/>
        <v>0.24508336266627231</v>
      </c>
      <c r="J65"/>
      <c r="K65"/>
      <c r="L65"/>
      <c r="M65"/>
      <c r="N65"/>
      <c r="O65"/>
    </row>
    <row r="66" spans="1:15" ht="14.25" customHeight="1">
      <c r="A66" s="836" t="s">
        <v>304</v>
      </c>
      <c r="B66" s="837"/>
      <c r="C66" s="837"/>
      <c r="D66" s="837"/>
      <c r="E66" s="837"/>
      <c r="F66" s="996"/>
      <c r="G66" s="849"/>
      <c r="H66" s="849"/>
      <c r="I66" s="849"/>
      <c r="J66"/>
      <c r="K66"/>
      <c r="L66"/>
      <c r="M66"/>
      <c r="N66"/>
      <c r="O66"/>
    </row>
    <row r="67" spans="1:15" ht="14.25" customHeight="1">
      <c r="A67" s="83" t="str">
        <f>CONCATENATE("Source : Insee, RP",'Aides traitements'!$I$11," exploitation principale et complémentaire         Champ : Personnes âgées de 15 ans ou plus")</f>
        <v>Source : Insee, RP2020 exploitation principale et complémentaire         Champ : Personnes âgées de 15 ans ou plus</v>
      </c>
      <c r="B67" s="435"/>
      <c r="C67" s="435"/>
      <c r="D67" s="435"/>
      <c r="E67" s="435"/>
      <c r="F67" s="28"/>
      <c r="J67"/>
      <c r="K67"/>
      <c r="L67"/>
      <c r="M67"/>
      <c r="N67"/>
      <c r="O67"/>
    </row>
    <row r="68" spans="1:15" ht="13.5" customHeight="1">
      <c r="A68" s="29"/>
      <c r="B68" s="29"/>
      <c r="C68" s="29"/>
      <c r="D68" s="29"/>
      <c r="E68" s="29"/>
      <c r="F68" s="29"/>
      <c r="G68" s="29"/>
      <c r="H68" s="29"/>
      <c r="I68" s="29"/>
      <c r="J68" s="29"/>
      <c r="K68" s="29"/>
      <c r="L68" s="29"/>
      <c r="M68" s="29"/>
      <c r="N68" s="29"/>
      <c r="O68" s="29"/>
    </row>
    <row r="69" spans="1:15" ht="14.25" customHeight="1"/>
    <row r="71" spans="1:15" ht="14.25" customHeight="1"/>
    <row r="72" spans="1:15" ht="14.25" customHeight="1"/>
    <row r="73" spans="1:15" ht="14.25" customHeight="1"/>
    <row r="74" spans="1:15" ht="14.25" customHeight="1"/>
    <row r="75" spans="1:15" ht="10.5" customHeight="1"/>
    <row r="76" spans="1:15" ht="14.25" customHeight="1"/>
    <row r="77" spans="1:15" ht="14.25" customHeight="1"/>
    <row r="78" spans="1:15" ht="14.25" customHeight="1"/>
    <row r="79" spans="1:15" ht="13.5" customHeight="1"/>
    <row r="80" spans="1:15" ht="25.2" customHeight="1"/>
    <row r="81" spans="1:16" ht="13.2" customHeight="1">
      <c r="A81" s="120"/>
      <c r="B81" s="406"/>
      <c r="C81" s="406"/>
      <c r="D81" s="406"/>
      <c r="E81" s="406"/>
      <c r="F81" s="406"/>
      <c r="G81" s="406"/>
      <c r="H81" s="10"/>
      <c r="I81" s="1"/>
      <c r="J81"/>
      <c r="K81"/>
      <c r="L81"/>
      <c r="M81"/>
      <c r="N81"/>
      <c r="O81" s="118"/>
      <c r="P81" s="22"/>
    </row>
    <row r="82" spans="1:16" ht="13.2" customHeight="1">
      <c r="A82" s="120"/>
      <c r="B82" s="406"/>
      <c r="C82" s="406"/>
      <c r="D82" s="406"/>
      <c r="E82" s="406"/>
      <c r="F82" s="406"/>
      <c r="G82" s="406"/>
      <c r="H82" s="10"/>
      <c r="I82" s="1"/>
      <c r="J82"/>
      <c r="K82"/>
      <c r="L82"/>
      <c r="M82"/>
      <c r="N82"/>
      <c r="O82" s="118"/>
      <c r="P82" s="22"/>
    </row>
    <row r="83" spans="1:16" ht="13.2" customHeight="1">
      <c r="C83" s="207"/>
      <c r="D83" s="207"/>
      <c r="E83" s="207"/>
      <c r="F83" s="207"/>
      <c r="G83" s="207"/>
      <c r="H83" s="1"/>
      <c r="I83" s="1"/>
      <c r="J83" s="7"/>
      <c r="K83" s="7"/>
      <c r="L83" s="7"/>
      <c r="M83" s="7"/>
      <c r="N83" s="7"/>
      <c r="O83" s="7"/>
      <c r="P83" s="22"/>
    </row>
    <row r="84" spans="1:16" ht="13.2" customHeight="1">
      <c r="P84" s="22"/>
    </row>
    <row r="85" spans="1:16" ht="10.5" customHeight="1"/>
    <row r="86" spans="1:16" ht="14.25" customHeight="1"/>
    <row r="99" spans="16:18" ht="13.2" customHeight="1">
      <c r="P99" s="34"/>
      <c r="Q99" s="35"/>
      <c r="R99" s="34"/>
    </row>
    <row r="100" spans="16:18" ht="13.2" customHeight="1">
      <c r="P100" s="34"/>
      <c r="Q100" s="35"/>
      <c r="R100" s="34"/>
    </row>
    <row r="101" spans="16:18" ht="10.5" customHeight="1"/>
  </sheetData>
  <sheetProtection algorithmName="SHA-512" hashValue="bkL5nj3LU/kevHR45GVzIQmDL1dzjygS4fIxWON7z4k1+VE1qhuJShuYCvfdit7EtT4w/XzYSn5cV0t1TjYVDA==" saltValue="zhJ5bN3ZJ6G8uIfqoA0Trw==" spinCount="100000" sheet="1" objects="1" scenarios="1"/>
  <mergeCells count="26">
    <mergeCell ref="F61:I61"/>
    <mergeCell ref="B61:E61"/>
    <mergeCell ref="A61:A62"/>
    <mergeCell ref="G51:H51"/>
    <mergeCell ref="A50:A52"/>
    <mergeCell ref="D51:F51"/>
    <mergeCell ref="B51:C51"/>
    <mergeCell ref="I51:K51"/>
    <mergeCell ref="G50:K50"/>
    <mergeCell ref="B50:F50"/>
    <mergeCell ref="B6:I6"/>
    <mergeCell ref="B15:D15"/>
    <mergeCell ref="E15:H15"/>
    <mergeCell ref="B24:G24"/>
    <mergeCell ref="E40:F40"/>
    <mergeCell ref="B40:D40"/>
    <mergeCell ref="B31:G31"/>
    <mergeCell ref="A38:G38"/>
    <mergeCell ref="A40:A41"/>
    <mergeCell ref="A15:A16"/>
    <mergeCell ref="I7:I8"/>
    <mergeCell ref="B7:D7"/>
    <mergeCell ref="A6:A8"/>
    <mergeCell ref="B14:H14"/>
    <mergeCell ref="A24:A25"/>
    <mergeCell ref="E7:H7"/>
  </mergeCells>
  <printOptions horizontalCentered="1"/>
  <pageMargins left="0.23622047244094491" right="0.19685039370078741" top="0.31496062992125984" bottom="0.31496062992125984" header="0.23622047244094491" footer="0.19685039370078741"/>
  <pageSetup paperSize="8" scale="88" orientation="portrait" r:id="rId1"/>
  <headerFooter scaleWithDoc="0">
    <oddFooter>&amp;LDGPU Ville de Tours&amp;CPage &amp;P&amp;RPortrait_Tours_RP2020.xlsx</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rgb="FF67A6A5"/>
    <pageSetUpPr fitToPage="1"/>
  </sheetPr>
  <dimension ref="A1:N186"/>
  <sheetViews>
    <sheetView showGridLines="0" zoomScaleNormal="100" zoomScaleSheetLayoutView="115" zoomScalePageLayoutView="115" workbookViewId="0">
      <selection activeCell="A13" sqref="A13"/>
    </sheetView>
  </sheetViews>
  <sheetFormatPr baseColWidth="10" defaultColWidth="10.44140625" defaultRowHeight="13.8"/>
  <cols>
    <col min="1" max="1" width="23.6640625" style="55" customWidth="1"/>
    <col min="2" max="2" width="16.33203125" style="55" customWidth="1"/>
    <col min="3" max="3" width="13.44140625" style="55" customWidth="1"/>
    <col min="4" max="4" width="12" style="55" customWidth="1"/>
    <col min="5" max="5" width="16.44140625" style="55" customWidth="1"/>
    <col min="6" max="8" width="9.33203125" style="55" customWidth="1"/>
    <col min="9" max="9" width="5.33203125" style="55" customWidth="1"/>
    <col min="10" max="10" width="9.33203125" style="55" customWidth="1"/>
    <col min="11" max="11" width="19.33203125" style="55" customWidth="1"/>
    <col min="12" max="12" width="27.33203125" style="55" customWidth="1"/>
    <col min="13" max="16384" width="10.44140625" style="55"/>
  </cols>
  <sheetData>
    <row r="1" spans="1:14" ht="19.5" customHeight="1">
      <c r="A1" s="441" t="s">
        <v>364</v>
      </c>
      <c r="B1" s="340"/>
      <c r="C1" s="340"/>
      <c r="D1" s="340"/>
      <c r="E1" s="340"/>
      <c r="F1" s="340"/>
      <c r="G1" s="340"/>
      <c r="H1" s="340"/>
      <c r="I1" s="340"/>
      <c r="J1" s="340"/>
      <c r="K1" s="340"/>
      <c r="L1" s="341" t="str">
        <f>CONCATENATE("Les données concernent les territoires en vigueur au 1er janvier"," ",'Aides traitements'!L4)</f>
        <v>Les données concernent les territoires en vigueur au 1er janvier 2022</v>
      </c>
    </row>
    <row r="2" spans="1:14" s="3" customFormat="1" ht="14.25" customHeight="1">
      <c r="A2" s="13"/>
      <c r="B2" s="13"/>
      <c r="C2" s="13"/>
      <c r="D2" s="13"/>
      <c r="E2" s="13"/>
      <c r="F2" s="13"/>
      <c r="G2" s="13"/>
      <c r="H2" s="13"/>
      <c r="I2" s="13"/>
      <c r="J2" s="13"/>
      <c r="K2" s="13"/>
      <c r="L2" s="13"/>
      <c r="M2"/>
      <c r="N2"/>
    </row>
    <row r="3" spans="1:14" s="67" customFormat="1" ht="15" customHeight="1">
      <c r="A3" s="342" t="s">
        <v>272</v>
      </c>
      <c r="B3" s="343"/>
      <c r="C3" s="343"/>
      <c r="D3" s="343"/>
      <c r="E3" s="343"/>
      <c r="F3" s="343"/>
      <c r="G3" s="343"/>
      <c r="H3" s="343"/>
      <c r="I3" s="343"/>
      <c r="J3" s="343"/>
      <c r="K3" s="343"/>
      <c r="L3" s="343"/>
    </row>
    <row r="4" spans="1:14" ht="14.25" customHeight="1">
      <c r="A4" s="82"/>
      <c r="B4" s="73"/>
      <c r="C4" s="73"/>
      <c r="D4" s="73"/>
      <c r="E4" s="73"/>
      <c r="F4" s="73"/>
      <c r="G4" s="73"/>
      <c r="H4" s="73"/>
      <c r="I4" s="73"/>
      <c r="J4" s="344"/>
      <c r="K4" s="344"/>
      <c r="L4" s="344"/>
    </row>
    <row r="5" spans="1:14" ht="13.2" customHeight="1">
      <c r="A5" s="1405" t="str">
        <f>CONCATENATE("Taux de scolarisation selon l'âge en ",'Aides traitements'!$I$11)</f>
        <v>Taux de scolarisation selon l'âge en 2020</v>
      </c>
      <c r="B5" s="1440" t="s">
        <v>272</v>
      </c>
      <c r="C5" s="1440"/>
      <c r="D5" s="1440"/>
      <c r="E5" s="1440"/>
      <c r="F5" s="1440"/>
      <c r="G5" s="1440"/>
      <c r="H5" s="1440"/>
      <c r="I5"/>
      <c r="J5" s="345"/>
      <c r="K5" s="346"/>
      <c r="L5" s="346"/>
    </row>
    <row r="6" spans="1:14" ht="26.4">
      <c r="A6" s="1405"/>
      <c r="B6" s="855" t="s">
        <v>275</v>
      </c>
      <c r="C6" s="855" t="s">
        <v>276</v>
      </c>
      <c r="D6" s="855" t="s">
        <v>277</v>
      </c>
      <c r="E6" s="855" t="s">
        <v>278</v>
      </c>
      <c r="F6" s="855" t="s">
        <v>279</v>
      </c>
      <c r="G6" s="855" t="s">
        <v>280</v>
      </c>
      <c r="H6" s="855" t="s">
        <v>281</v>
      </c>
      <c r="I6"/>
      <c r="J6" s="345"/>
      <c r="K6" s="347"/>
      <c r="L6" s="348"/>
    </row>
    <row r="7" spans="1:14" ht="13.5" customHeight="1">
      <c r="A7" s="189" t="str">
        <f>INDEX('Aides traitements'!$A$5:$A$26,'Page de garde'!$C$4,1)</f>
        <v>Paul Bert</v>
      </c>
      <c r="B7" s="998">
        <f>VLOOKUP($A7,'Base de données'!$OD$9:$OR$92,2,FALSE)/VLOOKUP($A7,'Base de données'!$OD$9:$OR$92,9,FALSE)</f>
        <v>0.67644215581435418</v>
      </c>
      <c r="C7" s="998">
        <f>VLOOKUP($A7,'Base de données'!$OD$9:$OR$91,3,FALSE)/VLOOKUP($A7,'Base de données'!$OD$9:$OR$91,10,FALSE)</f>
        <v>0.93154343166259634</v>
      </c>
      <c r="D7" s="998">
        <f>VLOOKUP($A7,'Base de données'!$OD$9:$OR$91,4,FALSE)/VLOOKUP($A7,'Base de données'!$OD$9:$OR$91,11,FALSE)</f>
        <v>1</v>
      </c>
      <c r="E7" s="998">
        <f>VLOOKUP($A7,'Base de données'!$OD$9:$OR$91,5,FALSE)/VLOOKUP($A7,'Base de données'!$OD$9:$OR$91,12,FALSE)</f>
        <v>1</v>
      </c>
      <c r="F7" s="998">
        <f>VLOOKUP($A7,'Base de données'!$OD$9:$OR$91,6,FALSE)/VLOOKUP($A7,'Base de données'!$OD$9:$OR$91,13,FALSE)</f>
        <v>0.74852894746491205</v>
      </c>
      <c r="G7" s="998">
        <f>VLOOKUP($A7,'Base de données'!$OD$9:$OR$91,7,FALSE)/VLOOKUP($A7,'Base de données'!$OD$9:$OR$91,14,FALSE)</f>
        <v>0.12449709602611554</v>
      </c>
      <c r="H7" s="998">
        <f>VLOOKUP($A7,'Base de données'!$OD$9:$OR$91,8,FALSE)/VLOOKUP($A7,'Base de données'!$OD$9:$OR$91,15,FALSE)</f>
        <v>1.0856344868754902E-2</v>
      </c>
      <c r="I7"/>
      <c r="J7" s="345"/>
      <c r="K7" s="349"/>
      <c r="L7" s="349"/>
    </row>
    <row r="8" spans="1:14" ht="13.5" customHeight="1">
      <c r="A8" s="190" t="str">
        <f>VLOOKUP(A7,'Aides traitements'!$A$5:$B$26,2,FALSE)</f>
        <v>Tours nord</v>
      </c>
      <c r="B8" s="999">
        <f>VLOOKUP($A8,'Base de données'!$OD$9:$OR$92,2,FALSE)/VLOOKUP($A8,'Base de données'!$OD$9:$OR$92,9,FALSE)</f>
        <v>0.67594149930136516</v>
      </c>
      <c r="C8" s="999">
        <f>VLOOKUP($A8,'Base de données'!$OD$9:$OR$91,3,FALSE)/VLOOKUP($A8,'Base de données'!$OD$9:$OR$91,10,FALSE)</f>
        <v>0.95325754240584137</v>
      </c>
      <c r="D8" s="999">
        <f>VLOOKUP($A8,'Base de données'!$OD$9:$OR$91,4,FALSE)/VLOOKUP($A8,'Base de données'!$OD$9:$OR$91,11,FALSE)</f>
        <v>0.96619010676415817</v>
      </c>
      <c r="E8" s="999">
        <f>VLOOKUP($A8,'Base de données'!$OD$9:$OR$91,5,FALSE)/VLOOKUP($A8,'Base de données'!$OD$9:$OR$91,12,FALSE)</f>
        <v>0.93959148229447664</v>
      </c>
      <c r="F8" s="999">
        <f>VLOOKUP($A8,'Base de données'!$OD$9:$OR$91,6,FALSE)/VLOOKUP($A8,'Base de données'!$OD$9:$OR$91,13,FALSE)</f>
        <v>0.52814452262926814</v>
      </c>
      <c r="G8" s="999">
        <f>VLOOKUP($A8,'Base de données'!$OD$9:$OR$91,7,FALSE)/VLOOKUP($A8,'Base de données'!$OD$9:$OR$91,14,FALSE)</f>
        <v>9.6940540975637618E-2</v>
      </c>
      <c r="H8" s="999">
        <f>VLOOKUP($A8,'Base de données'!$OD$9:$OR$91,8,FALSE)/VLOOKUP($A8,'Base de données'!$OD$9:$OR$91,15,FALSE)</f>
        <v>1.2153650338034115E-2</v>
      </c>
      <c r="I8"/>
      <c r="J8" s="345"/>
      <c r="K8" s="349"/>
      <c r="L8" s="349"/>
    </row>
    <row r="9" spans="1:14" ht="13.5" customHeight="1">
      <c r="A9" s="190" t="s">
        <v>0</v>
      </c>
      <c r="B9" s="999">
        <f>VLOOKUP($A9,'Base de données'!$OD$9:$OR$92,2,FALSE)/VLOOKUP($A9,'Base de données'!$OD$9:$OR$92,9,FALSE)</f>
        <v>0.70969386717945671</v>
      </c>
      <c r="C9" s="999">
        <f>VLOOKUP($A9,'Base de données'!$OD$9:$OR$91,3,FALSE)/VLOOKUP($A9,'Base de données'!$OD$9:$OR$91,10,FALSE)</f>
        <v>0.96098876583819604</v>
      </c>
      <c r="D9" s="999">
        <f>VLOOKUP($A9,'Base de données'!$OD$9:$OR$91,4,FALSE)/VLOOKUP($A9,'Base de données'!$OD$9:$OR$91,11,FALSE)</f>
        <v>0.9724862221562065</v>
      </c>
      <c r="E9" s="999">
        <f>VLOOKUP($A9,'Base de données'!$OD$9:$OR$91,5,FALSE)/VLOOKUP($A9,'Base de données'!$OD$9:$OR$91,12,FALSE)</f>
        <v>0.95869497451296137</v>
      </c>
      <c r="F9" s="999">
        <f>VLOOKUP($A9,'Base de données'!$OD$9:$OR$91,6,FALSE)/VLOOKUP($A9,'Base de données'!$OD$9:$OR$91,13,FALSE)</f>
        <v>0.71755326489417037</v>
      </c>
      <c r="G9" s="999">
        <f>VLOOKUP($A9,'Base de données'!$OD$9:$OR$91,7,FALSE)/VLOOKUP($A9,'Base de données'!$OD$9:$OR$91,14,FALSE)</f>
        <v>0.18585649031022133</v>
      </c>
      <c r="H9" s="999">
        <f>VLOOKUP($A9,'Base de données'!$OD$9:$OR$91,8,FALSE)/VLOOKUP($A9,'Base de données'!$OD$9:$OR$91,15,FALSE)</f>
        <v>1.8947396284766351E-2</v>
      </c>
      <c r="I9"/>
      <c r="J9" s="345"/>
      <c r="K9" s="349"/>
      <c r="L9" s="349"/>
    </row>
    <row r="10" spans="1:14" ht="13.5" customHeight="1">
      <c r="A10" s="836" t="s">
        <v>304</v>
      </c>
      <c r="B10" s="997"/>
      <c r="C10" s="997"/>
      <c r="D10" s="997"/>
      <c r="E10" s="997"/>
      <c r="F10" s="997"/>
      <c r="G10" s="997"/>
      <c r="H10" s="997"/>
      <c r="I10"/>
      <c r="J10" s="345"/>
      <c r="K10" s="350"/>
      <c r="L10" s="346"/>
    </row>
    <row r="11" spans="1:14" ht="11.25" customHeight="1">
      <c r="A11" s="69" t="str">
        <f>CONCATENATE("Source : Insee, RP",'Aides traitements'!$I$11," exploitation principale et complémentaire")</f>
        <v>Source : Insee, RP2020 exploitation principale et complémentaire</v>
      </c>
      <c r="B11"/>
      <c r="D11"/>
      <c r="E11"/>
      <c r="F11"/>
      <c r="G11"/>
      <c r="H11"/>
      <c r="J11" s="350"/>
      <c r="K11" s="350"/>
      <c r="L11" s="346"/>
    </row>
    <row r="12" spans="1:14" ht="14.25" customHeight="1">
      <c r="A12" s="69"/>
      <c r="B12"/>
      <c r="D12"/>
      <c r="E12"/>
      <c r="F12"/>
      <c r="G12"/>
      <c r="H12"/>
      <c r="J12" s="350"/>
      <c r="K12" s="350"/>
      <c r="L12" s="346"/>
    </row>
    <row r="13" spans="1:14" ht="14.25" customHeight="1">
      <c r="A13" s="1230" t="str">
        <f>CONCATENATE("Note de lecture : Parmi les 18-24 ans vivant à ",$A$7,", ",ROUND($F$7*100,1),"% sont scolarisés en ",'Aides traitements'!$I$11)</f>
        <v>Note de lecture : Parmi les 18-24 ans vivant à Paul Bert, 74,9% sont scolarisés en 2020</v>
      </c>
      <c r="B13" s="7"/>
      <c r="C13" s="65"/>
      <c r="D13" s="7"/>
      <c r="E13"/>
      <c r="F13"/>
      <c r="G13"/>
      <c r="H13"/>
      <c r="J13" s="350"/>
      <c r="K13" s="350"/>
      <c r="L13" s="346"/>
    </row>
    <row r="14" spans="1:14" ht="14.25" customHeight="1">
      <c r="A14" s="69"/>
      <c r="B14"/>
      <c r="D14"/>
      <c r="E14"/>
      <c r="F14"/>
      <c r="G14"/>
      <c r="H14"/>
      <c r="J14" s="350"/>
      <c r="K14" s="350"/>
      <c r="L14" s="346"/>
    </row>
    <row r="15" spans="1:14" ht="14.25" customHeight="1">
      <c r="A15" s="57"/>
      <c r="B15" s="58"/>
      <c r="D15" s="58"/>
      <c r="E15" s="58"/>
      <c r="F15" s="58"/>
      <c r="G15" s="56"/>
      <c r="J15" s="350"/>
      <c r="K15" s="350"/>
      <c r="L15" s="350"/>
    </row>
    <row r="16" spans="1:14" ht="14.25" customHeight="1">
      <c r="A16"/>
      <c r="B16"/>
      <c r="C16"/>
      <c r="D16"/>
      <c r="E16"/>
      <c r="F16"/>
      <c r="G16"/>
      <c r="J16" s="65"/>
      <c r="K16" s="65"/>
      <c r="L16" s="65"/>
    </row>
    <row r="17" spans="1:12" ht="15" customHeight="1">
      <c r="A17" s="342" t="s">
        <v>282</v>
      </c>
      <c r="B17" s="343"/>
      <c r="C17" s="343"/>
      <c r="D17" s="343"/>
      <c r="E17" s="343"/>
      <c r="F17" s="343"/>
      <c r="G17" s="343"/>
      <c r="H17" s="343"/>
      <c r="I17" s="343"/>
      <c r="J17" s="343"/>
      <c r="K17" s="343"/>
      <c r="L17" s="343"/>
    </row>
    <row r="18" spans="1:12" ht="13.5" customHeight="1">
      <c r="A18"/>
      <c r="B18"/>
      <c r="C18"/>
      <c r="D18"/>
      <c r="E18"/>
      <c r="F18"/>
      <c r="G18"/>
      <c r="I18" s="59"/>
      <c r="J18" s="350"/>
      <c r="K18" s="350"/>
      <c r="L18" s="350"/>
    </row>
    <row r="19" spans="1:12" ht="13.5" customHeight="1">
      <c r="A19" s="1405" t="str">
        <f>CONCATENATE("Diplôme le plus élevé obtenu de la population non scolarisée 
en ",'Aides traitements'!$I$11)</f>
        <v>Diplôme le plus élevé obtenu de la population non scolarisée 
en 2020</v>
      </c>
      <c r="B19" s="1440" t="s">
        <v>86</v>
      </c>
      <c r="C19" s="1440"/>
      <c r="D19" s="1440"/>
      <c r="E19" s="1440"/>
      <c r="F19" s="142"/>
      <c r="G19"/>
      <c r="H19" s="142"/>
      <c r="I19" s="59"/>
      <c r="J19" s="350"/>
      <c r="K19" s="347" t="str">
        <f>CONCATENATE("Diplôme le plus élevé obtenu de la population 
non scolarisée en ",INDEX('Aides traitements'!$E$4:$E$5,'Page de garde'!$G$4,1)," et ",'Aides traitements'!$I$11," ",A21)</f>
        <v>Diplôme le plus élevé obtenu de la population 
non scolarisée en 2009 et 2020 Paul Bert</v>
      </c>
      <c r="L19" s="350"/>
    </row>
    <row r="20" spans="1:12" ht="54.75" customHeight="1">
      <c r="A20" s="1405"/>
      <c r="B20" s="206" t="s">
        <v>295</v>
      </c>
      <c r="C20" s="206" t="s">
        <v>288</v>
      </c>
      <c r="D20" s="206" t="s">
        <v>439</v>
      </c>
      <c r="E20" s="206" t="s">
        <v>302</v>
      </c>
      <c r="F20" s="143"/>
      <c r="G20"/>
      <c r="H20" s="143"/>
      <c r="I20" s="59"/>
      <c r="J20" s="350"/>
      <c r="K20" s="350"/>
      <c r="L20" s="350"/>
    </row>
    <row r="21" spans="1:12" ht="13.5" customHeight="1">
      <c r="A21" s="189" t="str">
        <f>INDEX('Aides traitements'!$A$5:$A$26,'Page de garde'!$C$4,1)</f>
        <v>Paul Bert</v>
      </c>
      <c r="B21" s="932">
        <f>VLOOKUP($A21,'Base de données'!$OT$9:$PF$91,10,FALSE)</f>
        <v>417.35804341242101</v>
      </c>
      <c r="C21" s="932">
        <f>VLOOKUP($A21,'Base de données'!$OT$9:$PF$91,11,FALSE)</f>
        <v>348.18130762941598</v>
      </c>
      <c r="D21" s="932">
        <f>VLOOKUP($A21,'Base de données'!$OT$9:$PF$91,12,FALSE)</f>
        <v>377.865535847697</v>
      </c>
      <c r="E21" s="932">
        <f>VLOOKUP($A21,'Base de données'!$OT$9:$PF$91,13,FALSE)</f>
        <v>1209.0057609672449</v>
      </c>
      <c r="F21" s="143"/>
      <c r="G21"/>
      <c r="H21" s="144"/>
      <c r="I21" s="59"/>
      <c r="J21" s="350"/>
      <c r="K21" s="350"/>
      <c r="L21" s="350"/>
    </row>
    <row r="22" spans="1:12" ht="13.5" customHeight="1">
      <c r="A22" s="190" t="str">
        <f>VLOOKUP(A21,'Aides traitements'!$A$5:$B$26,2,FALSE)</f>
        <v>Tours nord</v>
      </c>
      <c r="B22" s="952">
        <f>VLOOKUP($A22,'Base de données'!$OT$9:$PF$91,10,FALSE)</f>
        <v>8196.6773904275015</v>
      </c>
      <c r="C22" s="952">
        <f>VLOOKUP($A22,'Base de données'!$OT$9:$PF$91,11,FALSE)</f>
        <v>7146.2479353603539</v>
      </c>
      <c r="D22" s="952">
        <f>VLOOKUP($A22,'Base de données'!$OT$9:$PF$91,12,FALSE)</f>
        <v>5446.4836834994467</v>
      </c>
      <c r="E22" s="952">
        <f>VLOOKUP($A22,'Base de données'!$OT$9:$PF$91,13,FALSE)</f>
        <v>10412.350267505533</v>
      </c>
      <c r="F22" s="143"/>
      <c r="G22"/>
      <c r="H22" s="145"/>
      <c r="I22" s="59"/>
      <c r="J22" s="350"/>
      <c r="K22" s="350"/>
      <c r="L22" s="350"/>
    </row>
    <row r="23" spans="1:12" ht="13.5" customHeight="1">
      <c r="A23" s="190" t="s">
        <v>0</v>
      </c>
      <c r="B23" s="952">
        <f>VLOOKUP($A23,'Base de données'!$OT$9:$PF$91,10,FALSE)</f>
        <v>21418.138313817126</v>
      </c>
      <c r="C23" s="952">
        <f>VLOOKUP($A23,'Base de données'!$OT$9:$PF$91,11,FALSE)</f>
        <v>18501.787618602131</v>
      </c>
      <c r="D23" s="952">
        <f>VLOOKUP($A23,'Base de données'!$OT$9:$PF$91,12,FALSE)</f>
        <v>15894.111588050722</v>
      </c>
      <c r="E23" s="952">
        <f>VLOOKUP($A23,'Base de données'!$OT$9:$PF$91,13,FALSE)</f>
        <v>37418.763861139138</v>
      </c>
      <c r="F23" s="143"/>
      <c r="G23"/>
      <c r="H23" s="145"/>
      <c r="J23" s="350"/>
      <c r="K23" s="350"/>
      <c r="L23" s="350"/>
    </row>
    <row r="24" spans="1:12" ht="13.5" customHeight="1">
      <c r="A24" s="836" t="s">
        <v>304</v>
      </c>
      <c r="B24" s="837"/>
      <c r="C24" s="837"/>
      <c r="D24" s="837"/>
      <c r="E24" s="837"/>
      <c r="F24" s="143"/>
      <c r="G24" s="145"/>
      <c r="H24" s="145"/>
      <c r="J24" s="350"/>
      <c r="K24" s="350"/>
      <c r="L24" s="350"/>
    </row>
    <row r="25" spans="1:12" ht="14.25" customHeight="1">
      <c r="A25" s="69"/>
      <c r="B25"/>
      <c r="C25" s="207"/>
      <c r="D25"/>
      <c r="E25"/>
      <c r="F25" s="143"/>
      <c r="G25" s="146"/>
      <c r="H25" s="146"/>
      <c r="I25" s="60"/>
      <c r="J25" s="350"/>
      <c r="K25" s="350"/>
      <c r="L25" s="350"/>
    </row>
    <row r="26" spans="1:12" ht="14.25" customHeight="1">
      <c r="A26"/>
      <c r="B26"/>
      <c r="C26"/>
      <c r="D26"/>
      <c r="E26"/>
      <c r="F26" s="143"/>
      <c r="G26" s="146"/>
      <c r="H26" s="74"/>
      <c r="I26" s="59"/>
      <c r="J26" s="350"/>
      <c r="K26" s="350"/>
      <c r="L26" s="350"/>
    </row>
    <row r="27" spans="1:12" ht="13.5" customHeight="1">
      <c r="A27" s="1405"/>
      <c r="B27" s="1441" t="s">
        <v>189</v>
      </c>
      <c r="C27" s="1441"/>
      <c r="D27" s="1441"/>
      <c r="E27" s="1441"/>
      <c r="F27" s="143"/>
      <c r="G27" s="147"/>
      <c r="H27" s="147"/>
      <c r="I27" s="59"/>
      <c r="J27" s="350"/>
      <c r="K27" s="350"/>
      <c r="L27" s="350"/>
    </row>
    <row r="28" spans="1:12" ht="54.75" customHeight="1">
      <c r="A28" s="1405"/>
      <c r="B28" s="208" t="s">
        <v>295</v>
      </c>
      <c r="C28" s="208" t="s">
        <v>288</v>
      </c>
      <c r="D28" s="208" t="s">
        <v>439</v>
      </c>
      <c r="E28" s="208" t="s">
        <v>302</v>
      </c>
      <c r="F28" s="143"/>
      <c r="G28" s="148"/>
      <c r="H28" s="148"/>
      <c r="I28" s="59"/>
      <c r="J28" s="350"/>
      <c r="K28" s="347" t="str">
        <f>CONCATENATE("Diplôme le plus élevé obtenu de la population 
non scolarisée selon le sexe en ",'Aides traitements'!$I$11," ",A29)</f>
        <v>Diplôme le plus élevé obtenu de la population 
non scolarisée selon le sexe en 2020 Paul Bert</v>
      </c>
      <c r="L28" s="350"/>
    </row>
    <row r="29" spans="1:12" ht="13.5" customHeight="1">
      <c r="A29" s="189" t="str">
        <f>INDEX('Aides traitements'!$A$5:$A$26,'Page de garde'!$C$4,1)</f>
        <v>Paul Bert</v>
      </c>
      <c r="B29" s="998">
        <f>B21/SUM($B21:$E21)</f>
        <v>0.17741717152686126</v>
      </c>
      <c r="C29" s="998">
        <f t="shared" ref="C29:E29" si="0">C21/SUM($B21:$E21)</f>
        <v>0.14801042834363762</v>
      </c>
      <c r="D29" s="998">
        <f t="shared" si="0"/>
        <v>0.16062907052047251</v>
      </c>
      <c r="E29" s="998">
        <f t="shared" si="0"/>
        <v>0.51394332960902844</v>
      </c>
      <c r="F29" s="143"/>
      <c r="G29" s="149"/>
      <c r="H29" s="149"/>
      <c r="I29" s="59"/>
      <c r="J29" s="350"/>
      <c r="K29" s="350"/>
      <c r="L29" s="350"/>
    </row>
    <row r="30" spans="1:12" ht="13.5" customHeight="1">
      <c r="A30" s="190" t="str">
        <f>VLOOKUP(A29,'Aides traitements'!$A$5:$B$26,2,FALSE)</f>
        <v>Tours nord</v>
      </c>
      <c r="B30" s="995">
        <f t="shared" ref="B30:E30" si="1">B22/SUM($B22:$E22)</f>
        <v>0.26269920608367764</v>
      </c>
      <c r="C30" s="995">
        <f t="shared" si="1"/>
        <v>0.22903349365545461</v>
      </c>
      <c r="D30" s="995">
        <f t="shared" si="1"/>
        <v>0.17455694197187202</v>
      </c>
      <c r="E30" s="995">
        <f t="shared" si="1"/>
        <v>0.3337103582889957</v>
      </c>
      <c r="F30" s="143"/>
      <c r="G30" s="150"/>
      <c r="H30" s="150"/>
      <c r="I30" s="59"/>
      <c r="J30" s="350"/>
      <c r="K30" s="350"/>
      <c r="L30" s="350"/>
    </row>
    <row r="31" spans="1:12" ht="13.5" customHeight="1">
      <c r="A31" s="190" t="s">
        <v>0</v>
      </c>
      <c r="B31" s="995">
        <f t="shared" ref="B31:E31" si="2">B23/SUM($B23:$E23)</f>
        <v>0.22972749929663724</v>
      </c>
      <c r="C31" s="995">
        <f t="shared" si="2"/>
        <v>0.19844719180830869</v>
      </c>
      <c r="D31" s="995">
        <f t="shared" si="2"/>
        <v>0.17047767901979999</v>
      </c>
      <c r="E31" s="995">
        <f t="shared" si="2"/>
        <v>0.40134762987525413</v>
      </c>
      <c r="F31" s="143"/>
      <c r="G31" s="150"/>
      <c r="H31" s="150"/>
      <c r="J31" s="350"/>
      <c r="K31" s="350"/>
      <c r="L31" s="350"/>
    </row>
    <row r="32" spans="1:12" ht="13.5" customHeight="1">
      <c r="A32" s="836" t="s">
        <v>304</v>
      </c>
      <c r="B32" s="849"/>
      <c r="C32" s="849"/>
      <c r="D32" s="849"/>
      <c r="E32" s="849"/>
      <c r="F32" s="143"/>
      <c r="G32" s="150"/>
      <c r="H32" s="150"/>
      <c r="J32" s="350"/>
      <c r="K32" s="350"/>
      <c r="L32" s="350"/>
    </row>
    <row r="33" spans="1:12" ht="11.25" customHeight="1">
      <c r="A33" s="69" t="str">
        <f>CONCATENATE("Source : Insee, RP",'Aides traitements'!$I$11," exploitation principale et complémentaire                     Champ : Population non scolarisée âgée de 15 ans ou plus")</f>
        <v>Source : Insee, RP2020 exploitation principale et complémentaire                     Champ : Population non scolarisée âgée de 15 ans ou plus</v>
      </c>
      <c r="B33"/>
      <c r="C33"/>
      <c r="D33"/>
      <c r="E33"/>
      <c r="F33" s="143"/>
      <c r="G33"/>
      <c r="J33" s="350"/>
      <c r="K33" s="350"/>
      <c r="L33" s="350"/>
    </row>
    <row r="34" spans="1:12" ht="23.25" customHeight="1">
      <c r="A34" s="69"/>
      <c r="B34"/>
      <c r="C34"/>
      <c r="D34"/>
      <c r="E34"/>
      <c r="F34" s="143"/>
      <c r="G34"/>
      <c r="J34" s="350"/>
      <c r="K34" s="350"/>
      <c r="L34" s="350"/>
    </row>
    <row r="35" spans="1:12" ht="14.25" customHeight="1"/>
    <row r="36" spans="1:12" ht="14.25" customHeight="1"/>
    <row r="37" spans="1:12" ht="14.25" customHeight="1"/>
    <row r="38" spans="1:12" ht="14.25" customHeight="1"/>
    <row r="39" spans="1:12" ht="14.25" customHeight="1"/>
    <row r="40" spans="1:12" ht="14.25" customHeight="1"/>
    <row r="41" spans="1:12" ht="14.25" customHeight="1"/>
    <row r="42" spans="1:12" ht="14.25" customHeight="1"/>
    <row r="43" spans="1:12" ht="14.25" customHeight="1"/>
    <row r="44" spans="1:12" ht="14.25" customHeight="1"/>
    <row r="45" spans="1:12" ht="14.25" customHeight="1"/>
    <row r="46" spans="1:12" ht="14.25" customHeight="1"/>
    <row r="47" spans="1:12" ht="14.25" customHeight="1"/>
    <row r="48" spans="1:12"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sheetData>
  <sheetProtection algorithmName="SHA-512" hashValue="LES15XoRnot9c/CnTJqRT2u43B144xMhBGaf0a4EKbM/sTkZo48KQw2Qv5WhrgLYUcShMehdruMCyhI+Hemt4Q==" saltValue="SDN9EXi3xdXmu/kIlmXqcg==" spinCount="100000" sheet="1" objects="1" scenarios="1"/>
  <mergeCells count="6">
    <mergeCell ref="A19:A20"/>
    <mergeCell ref="A27:A28"/>
    <mergeCell ref="A5:A6"/>
    <mergeCell ref="B5:H5"/>
    <mergeCell ref="B19:E19"/>
    <mergeCell ref="B27:E27"/>
  </mergeCells>
  <printOptions horizontalCentered="1"/>
  <pageMargins left="0.23622047244094491" right="0.19685039370078741" top="0.31496062992125984" bottom="0.31496062992125984" header="0.23622047244094491" footer="0.19685039370078741"/>
  <pageSetup paperSize="8" scale="85" orientation="portrait" r:id="rId1"/>
  <headerFooter scaleWithDoc="0">
    <oddFooter>&amp;LDGPU Ville de Tours&amp;CPage &amp;P&amp;RPortrait_Tours_RP2020.xlsx</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67A6A5"/>
    <pageSetUpPr fitToPage="1"/>
  </sheetPr>
  <dimension ref="A1:Q71"/>
  <sheetViews>
    <sheetView topLeftCell="A28" workbookViewId="0">
      <selection activeCell="A30" sqref="A30:A32"/>
    </sheetView>
  </sheetViews>
  <sheetFormatPr baseColWidth="10" defaultRowHeight="13.2"/>
  <cols>
    <col min="1" max="1" width="23.6640625" customWidth="1"/>
    <col min="2" max="2" width="16.33203125" customWidth="1"/>
    <col min="3" max="3" width="13.5546875" customWidth="1"/>
    <col min="4" max="4" width="12.88671875" customWidth="1"/>
    <col min="7" max="7" width="16.109375" customWidth="1"/>
  </cols>
  <sheetData>
    <row r="1" spans="1:17" ht="19.5" customHeight="1">
      <c r="A1" s="1020" t="s">
        <v>680</v>
      </c>
      <c r="B1" s="1021"/>
      <c r="C1" s="1021"/>
      <c r="D1" s="1021"/>
      <c r="E1" s="1021"/>
      <c r="F1" s="1021"/>
      <c r="G1" s="1021"/>
      <c r="H1" s="1021"/>
      <c r="I1" s="1021"/>
      <c r="J1" s="1021"/>
      <c r="K1" s="1021"/>
      <c r="L1" s="1021"/>
      <c r="M1" s="1021"/>
      <c r="N1" s="1021"/>
      <c r="O1" s="1022" t="str">
        <f>CONCATENATE("Les données concernent les territoires en vigueur au 1er janvier"," ",'Aides traitements'!L4)</f>
        <v>Les données concernent les territoires en vigueur au 1er janvier 2022</v>
      </c>
      <c r="Q1" s="1023" t="s">
        <v>13</v>
      </c>
    </row>
    <row r="2" spans="1:17" s="14" customFormat="1" ht="19.5" customHeight="1">
      <c r="A2" s="1024"/>
      <c r="B2" s="1025"/>
      <c r="C2" s="1025"/>
      <c r="D2" s="1025"/>
      <c r="E2" s="1025"/>
      <c r="F2" s="1025"/>
      <c r="G2" s="1025"/>
      <c r="H2" s="1025"/>
      <c r="I2" s="1025"/>
      <c r="J2" s="1025"/>
      <c r="K2" s="1025"/>
      <c r="L2" s="1025"/>
      <c r="M2" s="1025"/>
      <c r="N2" s="1025"/>
      <c r="O2" s="1026"/>
      <c r="Q2" s="1027"/>
    </row>
    <row r="3" spans="1:17" ht="15.6">
      <c r="A3" s="1013" t="s">
        <v>676</v>
      </c>
      <c r="B3" s="1014"/>
      <c r="C3" s="1014"/>
      <c r="D3" s="1014"/>
      <c r="E3" s="1014"/>
      <c r="F3" s="1014"/>
      <c r="G3" s="1014"/>
      <c r="H3" s="1014"/>
      <c r="I3" s="1014"/>
      <c r="J3" s="1014"/>
      <c r="K3" s="1014"/>
      <c r="L3" s="1014"/>
      <c r="M3" s="1014"/>
      <c r="N3" s="1014"/>
    </row>
    <row r="4" spans="1:17">
      <c r="A4" s="14"/>
      <c r="B4" s="14"/>
      <c r="C4" s="14"/>
      <c r="D4" s="14"/>
      <c r="E4" s="14"/>
      <c r="F4" s="14"/>
      <c r="H4" s="1015"/>
      <c r="I4" s="1015"/>
      <c r="J4" s="1015"/>
      <c r="K4" s="1015"/>
      <c r="L4" s="1015"/>
      <c r="M4" s="1015"/>
      <c r="N4" s="1015"/>
    </row>
    <row r="5" spans="1:17" ht="22.2" customHeight="1">
      <c r="A5" s="1405" t="str">
        <f>CONCATENATE("Mode de transport principal 
utilisé pour aller travailler 
en "," ",'Aides traitements'!I11)</f>
        <v>Mode de transport principal 
utilisé pour aller travailler 
en  2020</v>
      </c>
      <c r="B5" s="1457" t="s">
        <v>86</v>
      </c>
      <c r="C5" s="1457"/>
      <c r="D5" s="1457"/>
      <c r="E5" s="1457"/>
      <c r="F5" s="1457"/>
      <c r="G5" s="1457"/>
      <c r="H5" s="1015"/>
      <c r="I5" s="1015"/>
      <c r="J5" s="1068" t="str">
        <f>CONCATENATE("Mode de transport principal utilisé pour aller travailler en ",'Aides traitements'!I11," ",A7)</f>
        <v>Mode de transport principal utilisé pour aller travailler en 2020 Paul Bert</v>
      </c>
      <c r="K5" s="1015"/>
      <c r="L5" s="1015"/>
      <c r="M5" s="1015"/>
      <c r="N5" s="1015"/>
    </row>
    <row r="6" spans="1:17" ht="39" customHeight="1">
      <c r="A6" s="1405"/>
      <c r="B6" s="1184" t="s">
        <v>677</v>
      </c>
      <c r="C6" s="1184" t="s">
        <v>678</v>
      </c>
      <c r="D6" s="1184" t="s">
        <v>709</v>
      </c>
      <c r="E6" s="1184" t="s">
        <v>710</v>
      </c>
      <c r="F6" s="1184" t="s">
        <v>711</v>
      </c>
      <c r="G6" s="1184" t="s">
        <v>712</v>
      </c>
      <c r="H6" s="1016"/>
      <c r="I6" s="1016"/>
      <c r="J6" s="1016"/>
      <c r="K6" s="1015"/>
      <c r="L6" s="1015"/>
      <c r="M6" s="1015"/>
      <c r="N6" s="1015"/>
    </row>
    <row r="7" spans="1:17">
      <c r="A7" s="1028" t="str">
        <f>INDEX('Aides traitements'!$A$5:$A$26,'Page de garde'!$C$4,1)</f>
        <v>Paul Bert</v>
      </c>
      <c r="B7" s="1052">
        <f>VLOOKUP($A7,'Base de données'!$PR$9:$PX$91,2,FALSE)</f>
        <v>57.013377235030497</v>
      </c>
      <c r="C7" s="1055">
        <f>VLOOKUP($A7,'Base de données'!$PR$9:$PX$91,3,FALSE)</f>
        <v>97.827450043244994</v>
      </c>
      <c r="D7" s="1056">
        <f>VLOOKUP($A7,'Base de données'!$PR$9:$PX$91,4,FALSE)</f>
        <v>148.18790111155499</v>
      </c>
      <c r="E7" s="1055">
        <f>VLOOKUP($A7,'Base de données'!$PR$9:$PX$91,5,FALSE)</f>
        <v>23.23983406484</v>
      </c>
      <c r="F7" s="1055">
        <f>VLOOKUP($A7,'Base de données'!$PR$9:$PX$91,6,FALSE)</f>
        <v>761.59782986862103</v>
      </c>
      <c r="G7" s="1055">
        <f>VLOOKUP($A7,'Base de données'!$PR$9:$PX$91,7,FALSE)</f>
        <v>253.382830131021</v>
      </c>
      <c r="H7" s="1016"/>
      <c r="I7" s="1016"/>
      <c r="J7" s="1016"/>
      <c r="K7" s="1015"/>
      <c r="L7" s="1015"/>
      <c r="M7" s="1015"/>
      <c r="N7" s="1015"/>
    </row>
    <row r="8" spans="1:17">
      <c r="A8" s="1017" t="str">
        <f>VLOOKUP(A7,'Aides traitements'!A5:B26,2,FALSE)</f>
        <v>Tours nord</v>
      </c>
      <c r="B8" s="1054">
        <f>VLOOKUP($A8,'Base de données'!$PR$9:$PX$91,2,FALSE)</f>
        <v>486.38554435044074</v>
      </c>
      <c r="C8" s="1057">
        <f>VLOOKUP($A8,'Base de données'!$PR$9:$PX$91,3,FALSE)</f>
        <v>914.13961008238925</v>
      </c>
      <c r="D8" s="1058">
        <f>VLOOKUP($A8,'Base de données'!$PR$9:$PX$91,4,FALSE)</f>
        <v>807.70009327985042</v>
      </c>
      <c r="E8" s="1057">
        <f>VLOOKUP($A8,'Base de données'!$PR$9:$PX$91,5,FALSE)</f>
        <v>270.1260749550388</v>
      </c>
      <c r="F8" s="1057">
        <f>VLOOKUP($A8,'Base de données'!$PR$9:$PX$91,6,FALSE)</f>
        <v>11640.383734556968</v>
      </c>
      <c r="G8" s="1057">
        <f>VLOOKUP($A8,'Base de données'!$PR$9:$PX$91,7,FALSE)</f>
        <v>3735.7346339686997</v>
      </c>
      <c r="H8" s="1018"/>
      <c r="I8" s="1018"/>
      <c r="J8" s="1018"/>
      <c r="K8" s="1018"/>
      <c r="L8" s="1018"/>
      <c r="M8" s="1018"/>
      <c r="N8" s="1018"/>
    </row>
    <row r="9" spans="1:17">
      <c r="A9" s="1017" t="s">
        <v>0</v>
      </c>
      <c r="B9" s="952">
        <f>VLOOKUP($A9,'Base de données'!$PR$9:$PX$91,2,FALSE)</f>
        <v>1658.0999505394377</v>
      </c>
      <c r="C9" s="1057">
        <f>VLOOKUP($A9,'Base de données'!$PR$9:$PX$91,3,FALSE)</f>
        <v>6806.2561395927851</v>
      </c>
      <c r="D9" s="1057">
        <f>VLOOKUP($A9,'Base de données'!$PR$9:$PX$91,4,FALSE)</f>
        <v>4125.7069217698945</v>
      </c>
      <c r="E9" s="1057">
        <f>VLOOKUP($A9,'Base de données'!$PR$9:$PX$91,5,FALSE)</f>
        <v>756.03117311173935</v>
      </c>
      <c r="F9" s="1057">
        <f>VLOOKUP($A9,'Base de données'!$PR$9:$PX$91,6,FALSE)</f>
        <v>29255.062153463634</v>
      </c>
      <c r="G9" s="1057">
        <f>VLOOKUP($A9,'Base de données'!$PR$9:$PX$91,7,FALSE)</f>
        <v>12280.05778222377</v>
      </c>
      <c r="H9" s="1015"/>
      <c r="I9" s="1015"/>
      <c r="J9" s="1015"/>
      <c r="K9" s="1015"/>
      <c r="L9" s="1015"/>
      <c r="M9" s="1015"/>
      <c r="N9" s="1015"/>
    </row>
    <row r="10" spans="1:17">
      <c r="A10" s="1065"/>
      <c r="B10" s="1066"/>
      <c r="C10" s="1067"/>
      <c r="D10" s="1067"/>
      <c r="E10" s="1067"/>
      <c r="F10" s="1067"/>
      <c r="G10" s="406"/>
      <c r="H10" s="1015"/>
      <c r="I10" s="1015"/>
      <c r="J10" s="1015"/>
      <c r="K10" s="1015"/>
      <c r="L10" s="1015"/>
      <c r="M10" s="1015"/>
      <c r="N10" s="1015"/>
    </row>
    <row r="11" spans="1:17">
      <c r="A11" s="14"/>
      <c r="B11" s="1457" t="s">
        <v>685</v>
      </c>
      <c r="C11" s="1457"/>
      <c r="D11" s="1457"/>
      <c r="E11" s="1457"/>
      <c r="F11" s="1457"/>
      <c r="G11" s="1457"/>
      <c r="H11" s="1016"/>
      <c r="I11" s="1016"/>
      <c r="J11" s="1016"/>
      <c r="K11" s="1015"/>
      <c r="L11" s="1015"/>
      <c r="M11" s="1015"/>
      <c r="N11" s="1015"/>
    </row>
    <row r="12" spans="1:17" ht="26.4">
      <c r="A12" s="1008"/>
      <c r="B12" s="1184" t="s">
        <v>677</v>
      </c>
      <c r="C12" s="1184" t="s">
        <v>678</v>
      </c>
      <c r="D12" s="1184" t="s">
        <v>682</v>
      </c>
      <c r="E12" s="1184" t="s">
        <v>679</v>
      </c>
      <c r="F12" s="1184" t="s">
        <v>711</v>
      </c>
      <c r="G12" s="1184" t="s">
        <v>712</v>
      </c>
      <c r="H12" s="1018"/>
      <c r="I12" s="1018"/>
      <c r="J12" s="1018"/>
      <c r="K12" s="1018"/>
      <c r="L12" s="1018"/>
      <c r="M12" s="1018"/>
      <c r="N12" s="1018"/>
    </row>
    <row r="13" spans="1:17">
      <c r="A13" s="1028" t="str">
        <f>INDEX('Aides traitements'!$A$5:$A$26,'Page de garde'!$C$4,1)</f>
        <v>Paul Bert</v>
      </c>
      <c r="B13" s="1069">
        <f t="shared" ref="B13:G13" si="0">B$7/($B7+$C7+$D7+$E7+$F7+$G7)</f>
        <v>4.2507668433688556E-2</v>
      </c>
      <c r="C13" s="1069">
        <f t="shared" si="0"/>
        <v>7.2937563284646997E-2</v>
      </c>
      <c r="D13" s="1069">
        <f t="shared" si="0"/>
        <v>0.11048498566164333</v>
      </c>
      <c r="E13" s="1053">
        <f t="shared" si="0"/>
        <v>1.7327006551634088E-2</v>
      </c>
      <c r="F13" s="1053">
        <f t="shared" si="0"/>
        <v>0.56782722936084584</v>
      </c>
      <c r="G13" s="1053">
        <f t="shared" si="0"/>
        <v>0.18891554670754121</v>
      </c>
      <c r="H13" s="1015"/>
      <c r="I13" s="1015"/>
      <c r="J13" s="1015"/>
      <c r="K13" s="1015"/>
      <c r="L13" s="1015"/>
      <c r="M13" s="1015"/>
      <c r="N13" s="1015"/>
    </row>
    <row r="14" spans="1:17">
      <c r="A14" s="1017" t="str">
        <f>VLOOKUP(A13,'Aides traitements'!A5:B26,2,FALSE)</f>
        <v>Tours nord</v>
      </c>
      <c r="B14" s="995">
        <f>B$8/($B8+$C8+$D8+$E8+$F8+$G8)</f>
        <v>2.724166848765873E-2</v>
      </c>
      <c r="C14" s="995">
        <f t="shared" ref="C14:G14" si="1">C$8/($B8+$C8+$D8+$E8+$F8+$G8)</f>
        <v>5.1199482588569031E-2</v>
      </c>
      <c r="D14" s="995">
        <f t="shared" si="1"/>
        <v>4.5237977226410923E-2</v>
      </c>
      <c r="E14" s="995">
        <f t="shared" si="1"/>
        <v>1.5129325016484636E-2</v>
      </c>
      <c r="F14" s="995">
        <f t="shared" si="1"/>
        <v>0.65195908564556915</v>
      </c>
      <c r="G14" s="995">
        <f t="shared" si="1"/>
        <v>0.20923246103530754</v>
      </c>
      <c r="H14" s="14"/>
      <c r="I14" s="14"/>
      <c r="J14" s="14"/>
      <c r="K14" s="14"/>
      <c r="L14" s="14"/>
      <c r="M14" s="14"/>
    </row>
    <row r="15" spans="1:17">
      <c r="A15" s="1017" t="s">
        <v>0</v>
      </c>
      <c r="B15" s="995">
        <f>B$9/($B9+$C9+$D9+$E9+$F9+$G9)</f>
        <v>3.0212523121167619E-2</v>
      </c>
      <c r="C15" s="995">
        <f t="shared" ref="C15:G15" si="2">C$9/($B9+$C9+$D9+$E9+$F9+$G9)</f>
        <v>0.1240179585791171</v>
      </c>
      <c r="D15" s="995">
        <f t="shared" si="2"/>
        <v>7.5175212281130513E-2</v>
      </c>
      <c r="E15" s="995">
        <f t="shared" si="2"/>
        <v>1.3775773463192453E-2</v>
      </c>
      <c r="F15" s="995">
        <f t="shared" si="2"/>
        <v>0.53306149694725113</v>
      </c>
      <c r="G15" s="995">
        <f t="shared" si="2"/>
        <v>0.22375703560814114</v>
      </c>
      <c r="H15" s="14"/>
      <c r="I15" s="14"/>
      <c r="J15" s="14"/>
      <c r="K15" s="14"/>
      <c r="L15" s="14"/>
      <c r="M15" s="14"/>
    </row>
    <row r="16" spans="1:17">
      <c r="A16" s="1019" t="str">
        <f>CONCATENATE("Source : INSEE, RP",'Aides traitements'!I11," ","exploitation complémentaire")</f>
        <v>Source : INSEE, RP2020 exploitation complémentaire</v>
      </c>
      <c r="B16" s="14"/>
      <c r="C16" s="14"/>
      <c r="D16" s="14"/>
      <c r="E16" s="14"/>
      <c r="F16" s="14"/>
      <c r="G16" s="14"/>
      <c r="H16" s="14"/>
      <c r="I16" s="14"/>
      <c r="J16" s="14"/>
      <c r="K16" s="14"/>
      <c r="L16" s="14"/>
      <c r="M16" s="14"/>
    </row>
    <row r="17" spans="1:14">
      <c r="A17" s="108" t="s">
        <v>681</v>
      </c>
      <c r="B17" s="14"/>
      <c r="C17" s="14"/>
      <c r="D17" s="14"/>
      <c r="E17" s="14"/>
      <c r="F17" s="14"/>
      <c r="G17" s="14"/>
      <c r="H17" s="14"/>
      <c r="I17" s="14"/>
      <c r="J17" s="14"/>
      <c r="K17" s="14"/>
      <c r="L17" s="14"/>
      <c r="M17" s="14"/>
    </row>
    <row r="18" spans="1:14">
      <c r="A18" s="14"/>
      <c r="B18" s="14"/>
      <c r="C18" s="14"/>
      <c r="D18" s="14"/>
      <c r="E18" s="14"/>
      <c r="F18" s="14"/>
      <c r="G18" s="14"/>
      <c r="H18" s="14"/>
      <c r="I18" s="14"/>
      <c r="J18" s="14"/>
      <c r="K18" s="14"/>
      <c r="L18" s="14"/>
      <c r="M18" s="14"/>
    </row>
    <row r="19" spans="1:14" ht="15.6">
      <c r="A19" s="1013" t="s">
        <v>693</v>
      </c>
      <c r="B19" s="1014"/>
      <c r="C19" s="1014"/>
      <c r="D19" s="1014"/>
      <c r="E19" s="1014"/>
      <c r="F19" s="1014"/>
      <c r="G19" s="1014"/>
      <c r="H19" s="1014"/>
      <c r="I19" s="1014"/>
      <c r="J19" s="1014"/>
      <c r="K19" s="1014"/>
      <c r="L19" s="1014"/>
      <c r="M19" s="1014"/>
      <c r="N19" s="1014"/>
    </row>
    <row r="20" spans="1:14">
      <c r="A20" s="14"/>
      <c r="B20" s="14"/>
      <c r="C20" s="14"/>
      <c r="D20" s="14"/>
      <c r="E20" s="14"/>
      <c r="F20" s="14"/>
      <c r="G20" s="14"/>
      <c r="H20" s="14"/>
      <c r="I20" s="14"/>
      <c r="J20" s="14"/>
      <c r="K20" s="14"/>
      <c r="L20" s="14"/>
      <c r="M20" s="14"/>
    </row>
    <row r="21" spans="1:14" ht="27" thickBot="1">
      <c r="A21" s="53" t="s">
        <v>702</v>
      </c>
      <c r="B21" s="1185"/>
      <c r="C21" s="1109" t="s">
        <v>86</v>
      </c>
      <c r="D21" s="1110" t="s">
        <v>189</v>
      </c>
      <c r="E21" s="14"/>
      <c r="F21" s="1129"/>
      <c r="G21" s="1130"/>
      <c r="H21" s="1109" t="s">
        <v>86</v>
      </c>
      <c r="I21" s="1110" t="s">
        <v>189</v>
      </c>
      <c r="J21" s="14"/>
      <c r="K21" s="14"/>
      <c r="L21" s="14"/>
      <c r="M21" s="14"/>
      <c r="N21" s="14"/>
    </row>
    <row r="22" spans="1:14" ht="26.4">
      <c r="A22" s="1445" t="str">
        <f>INDEX('Aides traitements'!$A$5:$A$26,'Page de garde'!$C$4,1)</f>
        <v>Paul Bert</v>
      </c>
      <c r="B22" s="1115" t="str">
        <f>CONCATENATE("Travaillent également à Tours")</f>
        <v>Travaillent également à Tours</v>
      </c>
      <c r="C22" s="1123">
        <f>VLOOKUP(A22,'Base de données'!$PZ$9:$QF$91,2,FALSE)</f>
        <v>776.26201632203095</v>
      </c>
      <c r="D22" s="1116">
        <f>VLOOKUP(A22,'Base de données'!$PZ$100:$QB$102,2,FALSE)</f>
        <v>0.57575557938513089</v>
      </c>
      <c r="E22" s="14"/>
      <c r="F22" s="1451" t="s">
        <v>705</v>
      </c>
      <c r="G22" s="1452"/>
      <c r="H22" s="84">
        <f>VLOOKUP(A22,'Base de données'!$PZ$9:$QF$91,4,FALSE)</f>
        <v>411.71740097482302</v>
      </c>
      <c r="I22" s="123">
        <f>VLOOKUP(A22,'Base de données'!$PZ$100:$QF$102,4,FALSE)</f>
        <v>0.71980175683068359</v>
      </c>
      <c r="J22" s="14"/>
      <c r="K22" s="14"/>
      <c r="L22" s="14"/>
      <c r="M22" s="14"/>
      <c r="N22" s="14"/>
    </row>
    <row r="23" spans="1:14" ht="36" customHeight="1">
      <c r="A23" s="1446"/>
      <c r="B23" s="1028" t="s">
        <v>701</v>
      </c>
      <c r="C23" s="1124">
        <f>VLOOKUP(A22,'Base de données'!$PZ$10:$QF$92,3,FALSE)</f>
        <v>571.98721323997802</v>
      </c>
      <c r="D23" s="1117">
        <f>VLOOKUP(A22,'Base de données'!$PZ$100:$QB$102,3,FALSE)</f>
        <v>0.424244420614869</v>
      </c>
      <c r="E23" s="14"/>
      <c r="F23" s="1451" t="s">
        <v>704</v>
      </c>
      <c r="G23" s="1452"/>
      <c r="H23" s="1128">
        <f>VLOOKUP(A22,'Base de données'!$PZ$9:$QF$91,5,FALSE)</f>
        <v>69.311377919466807</v>
      </c>
      <c r="I23" s="123">
        <f>VLOOKUP(A22,'Base de données'!$PZ$100:$QF$102,5,FALSE)</f>
        <v>0.1211764464573566</v>
      </c>
      <c r="J23" s="14"/>
      <c r="K23" s="14"/>
      <c r="L23" s="14"/>
      <c r="M23" s="14"/>
      <c r="N23" s="14"/>
    </row>
    <row r="24" spans="1:14" ht="33.75" customHeight="1" thickBot="1">
      <c r="A24" s="1447"/>
      <c r="B24" s="1118" t="str">
        <f>CONCATENATE("Actifs occupés résidant à ",A22)</f>
        <v>Actifs occupés résidant à Paul Bert</v>
      </c>
      <c r="C24" s="1125">
        <f>VLOOKUP(A22,'Base de données'!$MW$9:$NF$91,5,FALSE)</f>
        <v>1175.2470109863614</v>
      </c>
      <c r="D24" s="1127">
        <f>D22+D23</f>
        <v>0.99999999999999989</v>
      </c>
      <c r="E24" s="14"/>
      <c r="F24" s="1451" t="s">
        <v>706</v>
      </c>
      <c r="G24" s="1452"/>
      <c r="H24" s="1128">
        <f>VLOOKUP(A22,'Base de données'!$PZ$9:$QF$91,6,FALSE)</f>
        <v>84.291168251824502</v>
      </c>
      <c r="I24" s="123">
        <f>VLOOKUP(A22,'Base de données'!$PZ$100:$QF$102,6,FALSE)</f>
        <v>0.14736547653637849</v>
      </c>
      <c r="J24" s="14"/>
      <c r="K24" s="14"/>
      <c r="L24" s="14"/>
      <c r="M24" s="14"/>
      <c r="N24" s="14"/>
    </row>
    <row r="25" spans="1:14" ht="14.25" customHeight="1">
      <c r="A25" s="1019" t="str">
        <f>CONCATENATE("Source : INSEE, RP",'Aides traitements'!I11," ","exploitation complémentaire")</f>
        <v>Source : INSEE, RP2020 exploitation complémentaire</v>
      </c>
      <c r="B25" s="14"/>
      <c r="C25" s="14"/>
      <c r="D25" s="14"/>
      <c r="E25" s="14"/>
      <c r="F25" s="1451" t="s">
        <v>707</v>
      </c>
      <c r="G25" s="1452"/>
      <c r="H25" s="1128">
        <f>VLOOKUP(A22,'Base de données'!$PZ$9:$QF$91,7,FALSE)</f>
        <v>6.6672660938636001</v>
      </c>
      <c r="I25" s="123">
        <f>VLOOKUP(A22,'Base de données'!$PZ$100:$QF$102,7,FALSE)</f>
        <v>1.1656320175581162E-2</v>
      </c>
      <c r="J25" s="14"/>
      <c r="K25" s="14"/>
      <c r="L25" s="14"/>
      <c r="M25" s="14"/>
      <c r="N25" s="14"/>
    </row>
    <row r="26" spans="1:14" ht="10.5" customHeight="1">
      <c r="A26" s="108" t="s">
        <v>681</v>
      </c>
      <c r="B26" s="14"/>
      <c r="C26" s="14"/>
      <c r="D26" s="14"/>
      <c r="E26" s="14"/>
      <c r="F26" s="1453" t="s">
        <v>703</v>
      </c>
      <c r="G26" s="1454"/>
      <c r="H26" s="1458">
        <f>SUM(H22:H25)</f>
        <v>571.98721323997802</v>
      </c>
      <c r="I26" s="1460">
        <f>SUM(I22:I25)</f>
        <v>0.99999999999999989</v>
      </c>
      <c r="J26" s="14"/>
      <c r="K26" s="14"/>
      <c r="L26" s="14"/>
      <c r="M26" s="14"/>
      <c r="N26" s="14"/>
    </row>
    <row r="27" spans="1:14" ht="12.75" customHeight="1">
      <c r="A27" s="14"/>
      <c r="B27" s="14"/>
      <c r="C27" s="14"/>
      <c r="D27" s="14"/>
      <c r="E27" s="14"/>
      <c r="F27" s="1455"/>
      <c r="G27" s="1456"/>
      <c r="H27" s="1459"/>
      <c r="I27" s="1461"/>
      <c r="J27" s="14"/>
      <c r="K27" s="14"/>
      <c r="L27" s="14"/>
      <c r="M27" s="14"/>
      <c r="N27" s="14"/>
    </row>
    <row r="28" spans="1:14" ht="12.75" customHeight="1">
      <c r="A28" s="14"/>
      <c r="B28" s="14"/>
      <c r="C28" s="14"/>
      <c r="D28" s="14"/>
      <c r="E28" s="14"/>
      <c r="F28" s="1131"/>
      <c r="G28" s="1131"/>
      <c r="H28" s="547"/>
      <c r="I28" s="1132"/>
      <c r="J28" s="14"/>
      <c r="K28" s="14"/>
      <c r="L28" s="14"/>
      <c r="M28" s="14"/>
      <c r="N28" s="14"/>
    </row>
    <row r="29" spans="1:14" ht="27.75" customHeight="1" thickBot="1">
      <c r="A29" s="53" t="s">
        <v>702</v>
      </c>
      <c r="B29" s="14"/>
      <c r="C29" s="1109" t="s">
        <v>86</v>
      </c>
      <c r="D29" s="1110" t="s">
        <v>189</v>
      </c>
      <c r="E29" s="14"/>
      <c r="F29" s="1129"/>
      <c r="G29" s="1130"/>
      <c r="H29" s="1109" t="s">
        <v>86</v>
      </c>
      <c r="I29" s="1110" t="s">
        <v>189</v>
      </c>
      <c r="J29" s="14"/>
      <c r="K29" s="14"/>
      <c r="L29" s="14"/>
      <c r="M29" s="14"/>
      <c r="N29" s="14"/>
    </row>
    <row r="30" spans="1:14" ht="26.4">
      <c r="A30" s="1448" t="str">
        <f>VLOOKUP(A7,'Aides traitements'!A5:B26,2,FALSE)</f>
        <v>Tours nord</v>
      </c>
      <c r="B30" s="1120" t="str">
        <f>CONCATENATE("Travaillent également à Tours")</f>
        <v>Travaillent également à Tours</v>
      </c>
      <c r="C30" s="1126">
        <f>VLOOKUP(A30,'Base de données'!$PZ$9:$QF$91,2,FALSE)</f>
        <v>11031.596179335487</v>
      </c>
      <c r="D30" s="1121">
        <f>VLOOKUP(A30,'Base de données'!$PZ$100:$QB$102,2,FALSE)</f>
        <v>0.61758515843739292</v>
      </c>
      <c r="E30" s="14"/>
      <c r="F30" s="1451" t="s">
        <v>705</v>
      </c>
      <c r="G30" s="1452"/>
      <c r="H30" s="84">
        <f>VLOOKUP(A30,'Base de données'!$PZ$9:$QF$91,4,FALSE)</f>
        <v>5722.8193230572842</v>
      </c>
      <c r="I30" s="123">
        <f>VLOOKUP(A30,'Base de données'!$PZ$100:$QF$102,4,FALSE)</f>
        <v>0.8377873351508377</v>
      </c>
      <c r="J30" s="14"/>
      <c r="K30" s="14"/>
      <c r="L30" s="14"/>
      <c r="M30" s="14"/>
      <c r="N30" s="14"/>
    </row>
    <row r="31" spans="1:14" ht="39.6">
      <c r="A31" s="1449"/>
      <c r="B31" s="1017" t="s">
        <v>701</v>
      </c>
      <c r="C31" s="952">
        <f>VLOOKUP(A30,'Base de données'!$PZ$10:$QF$92,3,FALSE)</f>
        <v>6830.8735199809762</v>
      </c>
      <c r="D31" s="1122">
        <f>VLOOKUP(A30,'Base de données'!$PZ$100:$QB$102,3,FALSE)</f>
        <v>0.38241484156260719</v>
      </c>
      <c r="E31" s="14"/>
      <c r="F31" s="1451" t="s">
        <v>704</v>
      </c>
      <c r="G31" s="1452"/>
      <c r="H31" s="1128">
        <f>VLOOKUP(A30,'Base de données'!$PZ$9:$QF$91,5,FALSE)</f>
        <v>440.0558371567177</v>
      </c>
      <c r="I31" s="123">
        <f>VLOOKUP(A30,'Base de données'!$PZ$100:$QF$102,5,FALSE)</f>
        <v>6.4421605211911939E-2</v>
      </c>
      <c r="J31" s="14"/>
      <c r="K31" s="14"/>
      <c r="L31" s="14"/>
      <c r="M31" s="14"/>
      <c r="N31" s="14"/>
    </row>
    <row r="32" spans="1:14" ht="27" thickBot="1">
      <c r="A32" s="1450"/>
      <c r="B32" s="1118" t="str">
        <f>CONCATENATE("Actifs occupés résidant à ",A30)</f>
        <v>Actifs occupés résidant à Tours nord</v>
      </c>
      <c r="C32" s="1125">
        <f>VLOOKUP(A30,'Base de données'!$MW$9:$NF$91,5,FALSE)</f>
        <v>15631.399861143103</v>
      </c>
      <c r="D32" s="1119">
        <f>D30+D31</f>
        <v>1</v>
      </c>
      <c r="E32" s="14"/>
      <c r="F32" s="1451" t="s">
        <v>706</v>
      </c>
      <c r="G32" s="1452"/>
      <c r="H32" s="1128">
        <f>VLOOKUP(A30,'Base de données'!$PZ$9:$QF$91,6,FALSE)</f>
        <v>649.16718425003558</v>
      </c>
      <c r="I32" s="123">
        <f>VLOOKUP(A30,'Base de données'!$PZ$100:$QF$102,6,FALSE)</f>
        <v>9.5034285490890408E-2</v>
      </c>
      <c r="J32" s="14"/>
      <c r="K32" s="14"/>
      <c r="L32" s="14"/>
      <c r="M32" s="14"/>
      <c r="N32" s="14"/>
    </row>
    <row r="33" spans="1:14" ht="13.5" customHeight="1">
      <c r="A33" s="1019" t="str">
        <f>CONCATENATE("Source : INSEE, RP",'Aides traitements'!I11," ","exploitation complémentaire")</f>
        <v>Source : INSEE, RP2020 exploitation complémentaire</v>
      </c>
      <c r="B33" s="1113"/>
      <c r="C33" s="1113"/>
      <c r="D33" s="14"/>
      <c r="E33" s="14"/>
      <c r="F33" s="1451" t="s">
        <v>707</v>
      </c>
      <c r="G33" s="1452"/>
      <c r="H33" s="1128">
        <f>VLOOKUP(A30,'Base de données'!$PZ$9:$QF$91,7,FALSE)</f>
        <v>18.831175516936959</v>
      </c>
      <c r="I33" s="123">
        <f>VLOOKUP(A30,'Base de données'!$PZ$100:$QF$102,7,FALSE)</f>
        <v>2.7567741463597473E-3</v>
      </c>
      <c r="J33" s="14"/>
      <c r="K33" s="14"/>
      <c r="L33" s="14"/>
      <c r="M33" s="14"/>
    </row>
    <row r="34" spans="1:14">
      <c r="A34" s="108" t="s">
        <v>681</v>
      </c>
      <c r="B34" s="1113"/>
      <c r="C34" s="1113"/>
      <c r="D34" s="14"/>
      <c r="E34" s="14"/>
      <c r="F34" s="1453" t="s">
        <v>703</v>
      </c>
      <c r="G34" s="1454"/>
      <c r="H34" s="1458">
        <f>SUM(H30:H33)</f>
        <v>6830.8735199809744</v>
      </c>
      <c r="I34" s="1460">
        <f>SUM(I30:I33)</f>
        <v>0.99999999999999989</v>
      </c>
      <c r="J34" s="14"/>
      <c r="K34" s="14"/>
      <c r="L34" s="14"/>
      <c r="M34" s="14"/>
      <c r="N34" s="14"/>
    </row>
    <row r="35" spans="1:14">
      <c r="A35" s="1113"/>
      <c r="B35" s="1113"/>
      <c r="C35" s="1113"/>
      <c r="D35" s="14"/>
      <c r="E35" s="14"/>
      <c r="F35" s="1455"/>
      <c r="G35" s="1456"/>
      <c r="H35" s="1459"/>
      <c r="I35" s="1461"/>
      <c r="J35" s="14"/>
      <c r="K35" s="14"/>
      <c r="L35" s="14"/>
      <c r="M35" s="14"/>
      <c r="N35" s="14"/>
    </row>
    <row r="36" spans="1:14">
      <c r="A36" s="1113"/>
      <c r="B36" s="1113"/>
      <c r="C36" s="1113"/>
      <c r="D36" s="14"/>
      <c r="E36" s="14"/>
      <c r="F36" s="1131"/>
      <c r="G36" s="1131"/>
      <c r="H36" s="547"/>
      <c r="I36" s="1132"/>
      <c r="J36" s="14"/>
      <c r="K36" s="14"/>
      <c r="L36" s="14"/>
      <c r="M36" s="14"/>
      <c r="N36" s="14"/>
    </row>
    <row r="37" spans="1:14" ht="27" thickBot="1">
      <c r="A37" s="53" t="s">
        <v>702</v>
      </c>
      <c r="B37" s="14"/>
      <c r="C37" s="1109" t="s">
        <v>86</v>
      </c>
      <c r="D37" s="1110" t="s">
        <v>189</v>
      </c>
      <c r="E37" s="14"/>
      <c r="F37" s="1129"/>
      <c r="G37" s="1130"/>
      <c r="H37" s="1109" t="s">
        <v>86</v>
      </c>
      <c r="I37" s="1110" t="s">
        <v>189</v>
      </c>
      <c r="J37" s="14"/>
      <c r="K37" s="14"/>
      <c r="L37" s="14"/>
      <c r="M37" s="14"/>
      <c r="N37" s="14"/>
    </row>
    <row r="38" spans="1:14" ht="26.4">
      <c r="A38" s="1442" t="s">
        <v>0</v>
      </c>
      <c r="B38" s="1120" t="str">
        <f>CONCATENATE("Travaillent également à Tours")</f>
        <v>Travaillent également à Tours</v>
      </c>
      <c r="C38" s="1126">
        <f>VLOOKUP(A38,'Base de données'!$PZ$9:$QF$91,2,FALSE)</f>
        <v>34974.592122926595</v>
      </c>
      <c r="D38" s="1121">
        <f>VLOOKUP(A38,'Base de données'!$PZ$100:$QB$102,2,FALSE)</f>
        <v>0.63680229678201217</v>
      </c>
      <c r="E38" s="14"/>
      <c r="F38" s="1451" t="s">
        <v>705</v>
      </c>
      <c r="G38" s="1452"/>
      <c r="H38" s="84">
        <f>VLOOKUP(A38,'Base de données'!$PZ$9:$QF$91,4,FALSE)</f>
        <v>15439.064762274744</v>
      </c>
      <c r="I38" s="123">
        <f>VLOOKUP(A38,'Base de données'!$PZ$100:$QF$102,4,FALSE)</f>
        <v>0.77398021336957923</v>
      </c>
      <c r="J38" s="14"/>
      <c r="K38" s="14"/>
      <c r="L38" s="14"/>
      <c r="M38" s="14"/>
      <c r="N38" s="14"/>
    </row>
    <row r="39" spans="1:14" ht="39.6">
      <c r="A39" s="1443"/>
      <c r="B39" s="1114" t="s">
        <v>701</v>
      </c>
      <c r="C39" s="952">
        <f>VLOOKUP(A38,'Base de données'!$PZ$10:$QF$92,3,FALSE)</f>
        <v>19947.62203940544</v>
      </c>
      <c r="D39" s="1122">
        <f>VLOOKUP(A38,'Base de données'!$PZ$100:$QB$102,3,FALSE)</f>
        <v>0.36319770321798783</v>
      </c>
      <c r="E39" s="14"/>
      <c r="F39" s="1451" t="s">
        <v>704</v>
      </c>
      <c r="G39" s="1452"/>
      <c r="H39" s="1128">
        <f>VLOOKUP(A38,'Base de données'!$PZ$9:$QF$91,5,FALSE)</f>
        <v>1699.2473394210415</v>
      </c>
      <c r="I39" s="123">
        <f>VLOOKUP(A38,'Base de données'!$PZ$100:$QF$102,5,FALSE)</f>
        <v>8.5185459001793348E-2</v>
      </c>
      <c r="J39" s="14"/>
      <c r="K39" s="14"/>
      <c r="L39" s="14"/>
      <c r="M39" s="14"/>
      <c r="N39" s="14"/>
    </row>
    <row r="40" spans="1:14" ht="27" thickBot="1">
      <c r="A40" s="1444"/>
      <c r="B40" s="1118" t="str">
        <f>CONCATENATE("Actifs occupés résidant à ",A38)</f>
        <v>Actifs occupés résidant à Tours</v>
      </c>
      <c r="C40" s="1125">
        <f>VLOOKUP(A38,'Base de données'!$MW$9:$NF$91,5,FALSE)</f>
        <v>52672.824072498435</v>
      </c>
      <c r="D40" s="1119">
        <f>D38+D39</f>
        <v>1</v>
      </c>
      <c r="E40" s="14"/>
      <c r="F40" s="1451" t="s">
        <v>706</v>
      </c>
      <c r="G40" s="1452"/>
      <c r="H40" s="1128">
        <f>VLOOKUP(A38,'Base de données'!$PZ$9:$QF$91,6,FALSE)</f>
        <v>2733.394819882787</v>
      </c>
      <c r="I40" s="123">
        <f>VLOOKUP(A38,'Base de données'!$PZ$100:$QF$102,6,FALSE)</f>
        <v>0.13702860493762689</v>
      </c>
      <c r="J40" s="14"/>
      <c r="K40" s="14"/>
      <c r="L40" s="14"/>
      <c r="M40" s="14"/>
      <c r="N40" s="14"/>
    </row>
    <row r="41" spans="1:14">
      <c r="A41" s="1019" t="str">
        <f>CONCATENATE("Source : INSEE, RP",'Aides traitements'!I11," ","exploitation complémentaire")</f>
        <v>Source : INSEE, RP2020 exploitation complémentaire</v>
      </c>
      <c r="B41" s="14"/>
      <c r="C41" s="14"/>
      <c r="D41" s="14"/>
      <c r="E41" s="14"/>
      <c r="F41" s="1451" t="s">
        <v>707</v>
      </c>
      <c r="G41" s="1452"/>
      <c r="H41" s="1128">
        <f>VLOOKUP(A38,'Base de données'!$PZ$9:$QF$91,7,FALSE)</f>
        <v>75.915117826862684</v>
      </c>
      <c r="I41" s="123">
        <f>VLOOKUP(A38,'Base de données'!$PZ$100:$QF$102,7,FALSE)</f>
        <v>3.8057226910002862E-3</v>
      </c>
      <c r="J41" s="14"/>
      <c r="K41" s="14"/>
      <c r="L41" s="14"/>
      <c r="M41" s="14"/>
      <c r="N41" s="14"/>
    </row>
    <row r="42" spans="1:14">
      <c r="A42" s="108" t="s">
        <v>681</v>
      </c>
      <c r="B42" s="14"/>
      <c r="C42" s="14"/>
      <c r="D42" s="14"/>
      <c r="E42" s="14"/>
      <c r="F42" s="1453" t="s">
        <v>703</v>
      </c>
      <c r="G42" s="1454"/>
      <c r="H42" s="1458">
        <f>SUM(H38:H41)</f>
        <v>19947.622039405433</v>
      </c>
      <c r="I42" s="1460">
        <f>SUM(I38:I41)</f>
        <v>0.99999999999999978</v>
      </c>
      <c r="J42" s="14"/>
      <c r="K42" s="14"/>
      <c r="L42" s="14"/>
      <c r="M42" s="14"/>
      <c r="N42" s="14"/>
    </row>
    <row r="43" spans="1:14">
      <c r="A43" s="14"/>
      <c r="B43" s="14"/>
      <c r="C43" s="14"/>
      <c r="D43" s="14"/>
      <c r="E43" s="14"/>
      <c r="F43" s="1455"/>
      <c r="G43" s="1456"/>
      <c r="H43" s="1459"/>
      <c r="I43" s="1461"/>
      <c r="J43" s="14"/>
      <c r="K43" s="14"/>
      <c r="L43" s="14"/>
      <c r="M43" s="14"/>
      <c r="N43" s="14"/>
    </row>
    <row r="44" spans="1:14">
      <c r="A44" s="14"/>
      <c r="B44" s="14"/>
      <c r="C44" s="14"/>
      <c r="D44" s="14"/>
      <c r="E44" s="14"/>
      <c r="F44" s="14"/>
      <c r="G44" s="14"/>
      <c r="H44" s="14"/>
      <c r="I44" s="14"/>
      <c r="J44" s="14"/>
      <c r="K44" s="14"/>
      <c r="L44" s="14"/>
      <c r="M44" s="14"/>
      <c r="N44" s="14"/>
    </row>
    <row r="45" spans="1:14">
      <c r="A45" s="14"/>
      <c r="B45" s="14"/>
      <c r="C45" s="14"/>
      <c r="D45" s="14"/>
      <c r="E45" s="14"/>
      <c r="F45" s="14"/>
      <c r="G45" s="14"/>
      <c r="H45" s="14"/>
      <c r="I45" s="14"/>
      <c r="J45" s="14"/>
      <c r="K45" s="14"/>
      <c r="L45" s="14"/>
      <c r="M45" s="14"/>
      <c r="N45" s="14"/>
    </row>
    <row r="46" spans="1:14">
      <c r="A46" s="14"/>
      <c r="B46" s="14"/>
      <c r="C46" s="14"/>
      <c r="D46" s="14"/>
      <c r="E46" s="14"/>
      <c r="F46" s="14"/>
      <c r="G46" s="14"/>
      <c r="H46" s="14"/>
      <c r="I46" s="14"/>
      <c r="J46" s="14"/>
      <c r="K46" s="14"/>
      <c r="L46" s="14"/>
      <c r="M46" s="14"/>
      <c r="N46" s="14"/>
    </row>
    <row r="47" spans="1:14">
      <c r="A47" s="14"/>
      <c r="B47" s="14"/>
      <c r="C47" s="14"/>
      <c r="D47" s="14"/>
      <c r="E47" s="14"/>
      <c r="F47" s="14"/>
      <c r="G47" s="14"/>
      <c r="H47" s="14"/>
      <c r="I47" s="14"/>
      <c r="J47" s="14"/>
      <c r="K47" s="14"/>
      <c r="L47" s="14"/>
      <c r="M47" s="14"/>
      <c r="N47" s="14"/>
    </row>
    <row r="48" spans="1:14">
      <c r="A48" s="14"/>
      <c r="B48" s="14"/>
      <c r="C48" s="14"/>
      <c r="D48" s="14"/>
      <c r="E48" s="14"/>
      <c r="F48" s="14"/>
      <c r="G48" s="14"/>
      <c r="H48" s="14"/>
      <c r="I48" s="14"/>
      <c r="J48" s="14"/>
      <c r="K48" s="14"/>
      <c r="L48" s="14"/>
      <c r="M48" s="14"/>
      <c r="N48" s="14"/>
    </row>
    <row r="49" spans="1:14">
      <c r="A49" s="14"/>
      <c r="B49" s="14"/>
      <c r="C49" s="14"/>
      <c r="D49" s="14"/>
      <c r="E49" s="14"/>
      <c r="F49" s="14"/>
      <c r="G49" s="14"/>
      <c r="H49" s="14"/>
      <c r="I49" s="14"/>
      <c r="J49" s="14"/>
      <c r="K49" s="14"/>
      <c r="L49" s="14"/>
      <c r="M49" s="14"/>
      <c r="N49" s="14"/>
    </row>
    <row r="50" spans="1:14">
      <c r="A50" s="14"/>
      <c r="B50" s="14"/>
      <c r="C50" s="14"/>
      <c r="D50" s="14"/>
      <c r="E50" s="14"/>
      <c r="F50" s="14"/>
      <c r="G50" s="14"/>
      <c r="H50" s="14"/>
      <c r="I50" s="14"/>
      <c r="J50" s="14"/>
      <c r="K50" s="14"/>
      <c r="L50" s="14"/>
      <c r="M50" s="14"/>
      <c r="N50" s="14"/>
    </row>
    <row r="51" spans="1:14">
      <c r="A51" s="14"/>
      <c r="B51" s="14"/>
      <c r="C51" s="14"/>
      <c r="D51" s="14"/>
      <c r="E51" s="14"/>
      <c r="F51" s="14"/>
      <c r="G51" s="14"/>
      <c r="H51" s="14"/>
      <c r="I51" s="14"/>
      <c r="J51" s="14"/>
      <c r="K51" s="14"/>
      <c r="L51" s="14"/>
      <c r="M51" s="14"/>
      <c r="N51" s="14"/>
    </row>
    <row r="52" spans="1:14">
      <c r="A52" s="14"/>
      <c r="B52" s="14"/>
      <c r="C52" s="14"/>
      <c r="D52" s="14"/>
      <c r="E52" s="14"/>
      <c r="F52" s="14"/>
      <c r="G52" s="14"/>
      <c r="H52" s="14"/>
      <c r="I52" s="14"/>
      <c r="J52" s="14"/>
      <c r="K52" s="14"/>
      <c r="L52" s="14"/>
      <c r="M52" s="14"/>
      <c r="N52" s="14"/>
    </row>
    <row r="53" spans="1:14">
      <c r="A53" s="14"/>
      <c r="B53" s="14"/>
      <c r="C53" s="14"/>
      <c r="D53" s="14"/>
      <c r="E53" s="14"/>
      <c r="F53" s="14"/>
      <c r="G53" s="14"/>
      <c r="H53" s="14"/>
      <c r="I53" s="14"/>
      <c r="J53" s="14"/>
      <c r="K53" s="14"/>
      <c r="L53" s="14"/>
      <c r="M53" s="14"/>
      <c r="N53" s="14"/>
    </row>
    <row r="54" spans="1:14">
      <c r="A54" s="14"/>
      <c r="B54" s="14"/>
      <c r="C54" s="14"/>
      <c r="D54" s="14"/>
      <c r="E54" s="14"/>
      <c r="F54" s="14"/>
      <c r="G54" s="14"/>
      <c r="H54" s="14"/>
      <c r="I54" s="14"/>
      <c r="J54" s="14"/>
      <c r="K54" s="14"/>
      <c r="L54" s="14"/>
      <c r="M54" s="14"/>
      <c r="N54" s="14"/>
    </row>
    <row r="55" spans="1:14">
      <c r="A55" s="14"/>
      <c r="B55" s="14"/>
      <c r="C55" s="14"/>
      <c r="D55" s="14"/>
      <c r="E55" s="14"/>
      <c r="F55" s="14"/>
      <c r="G55" s="14"/>
      <c r="H55" s="14"/>
      <c r="I55" s="14"/>
      <c r="J55" s="14"/>
      <c r="K55" s="14"/>
      <c r="L55" s="14"/>
      <c r="M55" s="14"/>
      <c r="N55" s="14"/>
    </row>
    <row r="56" spans="1:14">
      <c r="A56" s="14"/>
      <c r="B56" s="14"/>
      <c r="C56" s="14"/>
      <c r="D56" s="14"/>
      <c r="E56" s="14"/>
      <c r="F56" s="14"/>
      <c r="G56" s="14"/>
      <c r="H56" s="14"/>
      <c r="I56" s="14"/>
      <c r="J56" s="14"/>
      <c r="K56" s="14"/>
      <c r="L56" s="14"/>
      <c r="M56" s="14"/>
      <c r="N56" s="14"/>
    </row>
    <row r="57" spans="1:14">
      <c r="A57" s="14"/>
      <c r="B57" s="14"/>
      <c r="C57" s="14"/>
      <c r="D57" s="14"/>
      <c r="E57" s="14"/>
      <c r="F57" s="14"/>
      <c r="G57" s="14"/>
      <c r="H57" s="14"/>
      <c r="I57" s="14"/>
      <c r="J57" s="14"/>
      <c r="K57" s="14"/>
      <c r="L57" s="14"/>
      <c r="M57" s="14"/>
      <c r="N57" s="14"/>
    </row>
    <row r="58" spans="1:14">
      <c r="A58" s="14"/>
      <c r="B58" s="14"/>
      <c r="C58" s="14"/>
      <c r="D58" s="14"/>
      <c r="E58" s="14"/>
      <c r="F58" s="14"/>
      <c r="G58" s="14"/>
      <c r="H58" s="14"/>
      <c r="I58" s="14"/>
      <c r="J58" s="14"/>
      <c r="K58" s="14"/>
      <c r="L58" s="14"/>
      <c r="M58" s="14"/>
      <c r="N58" s="14"/>
    </row>
    <row r="59" spans="1:14">
      <c r="A59" s="14"/>
      <c r="B59" s="14"/>
      <c r="C59" s="14"/>
      <c r="D59" s="14"/>
      <c r="E59" s="14"/>
      <c r="F59" s="14"/>
      <c r="G59" s="14"/>
      <c r="H59" s="14"/>
      <c r="I59" s="14"/>
      <c r="J59" s="14"/>
      <c r="K59" s="14"/>
      <c r="L59" s="14"/>
      <c r="M59" s="14"/>
      <c r="N59" s="14"/>
    </row>
    <row r="60" spans="1:14">
      <c r="A60" s="14"/>
      <c r="B60" s="14"/>
      <c r="C60" s="14"/>
      <c r="D60" s="14"/>
      <c r="E60" s="14"/>
      <c r="F60" s="14"/>
      <c r="G60" s="14"/>
      <c r="H60" s="14"/>
      <c r="I60" s="14"/>
      <c r="J60" s="14"/>
      <c r="K60" s="14"/>
      <c r="L60" s="14"/>
      <c r="M60" s="14"/>
      <c r="N60" s="14"/>
    </row>
    <row r="61" spans="1:14">
      <c r="A61" s="14"/>
      <c r="B61" s="14"/>
      <c r="C61" s="14"/>
      <c r="D61" s="14"/>
      <c r="E61" s="14"/>
      <c r="F61" s="14"/>
      <c r="G61" s="14"/>
      <c r="H61" s="14"/>
      <c r="I61" s="14"/>
      <c r="J61" s="14"/>
      <c r="K61" s="14"/>
      <c r="L61" s="14"/>
      <c r="M61" s="14"/>
      <c r="N61" s="14"/>
    </row>
    <row r="62" spans="1:14">
      <c r="A62" s="14"/>
      <c r="B62" s="14"/>
      <c r="C62" s="14"/>
      <c r="D62" s="14"/>
      <c r="E62" s="14"/>
      <c r="F62" s="14"/>
      <c r="G62" s="14"/>
      <c r="H62" s="14"/>
      <c r="I62" s="14"/>
      <c r="J62" s="14"/>
      <c r="K62" s="14"/>
      <c r="L62" s="14"/>
      <c r="M62" s="14"/>
      <c r="N62" s="14"/>
    </row>
    <row r="63" spans="1:14">
      <c r="A63" s="14"/>
      <c r="B63" s="14"/>
      <c r="C63" s="14"/>
      <c r="D63" s="14"/>
      <c r="E63" s="14"/>
      <c r="F63" s="14"/>
      <c r="G63" s="14"/>
      <c r="H63" s="14"/>
      <c r="I63" s="14"/>
      <c r="J63" s="14"/>
      <c r="K63" s="14"/>
      <c r="L63" s="14"/>
      <c r="M63" s="14"/>
      <c r="N63" s="14"/>
    </row>
    <row r="64" spans="1:14">
      <c r="A64" s="14"/>
      <c r="B64" s="14"/>
      <c r="C64" s="14"/>
      <c r="D64" s="14"/>
      <c r="E64" s="14"/>
      <c r="F64" s="14"/>
      <c r="G64" s="14"/>
      <c r="H64" s="14"/>
      <c r="I64" s="14"/>
      <c r="J64" s="14"/>
      <c r="K64" s="14"/>
      <c r="L64" s="14"/>
      <c r="M64" s="14"/>
      <c r="N64" s="14"/>
    </row>
    <row r="65" spans="1:14">
      <c r="A65" s="14"/>
      <c r="B65" s="14"/>
      <c r="C65" s="14"/>
      <c r="D65" s="14"/>
      <c r="E65" s="14"/>
      <c r="F65" s="14"/>
      <c r="G65" s="14"/>
      <c r="H65" s="14"/>
      <c r="I65" s="14"/>
      <c r="J65" s="14"/>
      <c r="K65" s="14"/>
      <c r="L65" s="14"/>
      <c r="M65" s="14"/>
      <c r="N65" s="14"/>
    </row>
    <row r="66" spans="1:14">
      <c r="A66" s="14"/>
      <c r="B66" s="14"/>
      <c r="C66" s="14"/>
      <c r="D66" s="14"/>
      <c r="E66" s="14"/>
      <c r="F66" s="14"/>
      <c r="G66" s="14"/>
      <c r="H66" s="14"/>
      <c r="I66" s="14"/>
      <c r="J66" s="14"/>
      <c r="K66" s="14"/>
      <c r="L66" s="14"/>
      <c r="M66" s="14"/>
      <c r="N66" s="14"/>
    </row>
    <row r="67" spans="1:14">
      <c r="A67" s="14"/>
      <c r="B67" s="14"/>
      <c r="C67" s="14"/>
      <c r="D67" s="14"/>
      <c r="E67" s="14"/>
      <c r="F67" s="14"/>
      <c r="G67" s="14"/>
      <c r="H67" s="14"/>
      <c r="I67" s="14"/>
      <c r="J67" s="14"/>
      <c r="K67" s="14"/>
      <c r="L67" s="14"/>
      <c r="M67" s="14"/>
      <c r="N67" s="14"/>
    </row>
    <row r="68" spans="1:14">
      <c r="A68" s="14"/>
      <c r="B68" s="14"/>
      <c r="C68" s="14"/>
      <c r="D68" s="14"/>
      <c r="E68" s="14"/>
      <c r="F68" s="14"/>
      <c r="G68" s="14"/>
      <c r="H68" s="14"/>
      <c r="I68" s="14"/>
      <c r="J68" s="14"/>
      <c r="K68" s="14"/>
      <c r="L68" s="14"/>
      <c r="M68" s="14"/>
      <c r="N68" s="14"/>
    </row>
    <row r="69" spans="1:14">
      <c r="A69" s="14"/>
      <c r="B69" s="14"/>
      <c r="C69" s="14"/>
      <c r="D69" s="14"/>
      <c r="E69" s="14"/>
      <c r="F69" s="14"/>
      <c r="G69" s="14"/>
      <c r="H69" s="14"/>
      <c r="I69" s="14"/>
      <c r="J69" s="14"/>
      <c r="K69" s="14"/>
      <c r="L69" s="14"/>
      <c r="M69" s="14"/>
    </row>
    <row r="70" spans="1:14">
      <c r="G70" s="14"/>
      <c r="L70" s="14"/>
      <c r="M70" s="14"/>
    </row>
    <row r="71" spans="1:14">
      <c r="G71" s="14"/>
      <c r="L71" s="14"/>
      <c r="M71" s="14"/>
    </row>
  </sheetData>
  <sheetProtection algorithmName="SHA-512" hashValue="y4UY9cN6A+ylFE/gGH+GHxRWGzPBAktzpYE925fw6tO3RotsT/uVD++yKAG439HWaY8ycJv9YCCy3PTbrU+FuA==" saltValue="cDFrfbF1uHzZw6PO2xMjdw==" spinCount="100000" sheet="1" objects="1" scenarios="1"/>
  <mergeCells count="27">
    <mergeCell ref="H34:H35"/>
    <mergeCell ref="I34:I35"/>
    <mergeCell ref="F38:G38"/>
    <mergeCell ref="I42:I43"/>
    <mergeCell ref="F39:G39"/>
    <mergeCell ref="F40:G40"/>
    <mergeCell ref="F41:G41"/>
    <mergeCell ref="F42:G43"/>
    <mergeCell ref="H42:H43"/>
    <mergeCell ref="H26:H27"/>
    <mergeCell ref="I26:I27"/>
    <mergeCell ref="F22:G22"/>
    <mergeCell ref="F23:G23"/>
    <mergeCell ref="F24:G24"/>
    <mergeCell ref="F25:G25"/>
    <mergeCell ref="F26:G27"/>
    <mergeCell ref="A38:A40"/>
    <mergeCell ref="A5:A6"/>
    <mergeCell ref="A22:A24"/>
    <mergeCell ref="A30:A32"/>
    <mergeCell ref="F30:G30"/>
    <mergeCell ref="F31:G31"/>
    <mergeCell ref="F32:G32"/>
    <mergeCell ref="F33:G33"/>
    <mergeCell ref="F34:G35"/>
    <mergeCell ref="B5:G5"/>
    <mergeCell ref="B11:G11"/>
  </mergeCells>
  <pageMargins left="0.70866141732283472" right="0.70866141732283472" top="0.74803149606299213" bottom="0.74803149606299213" header="0.31496062992125984" footer="0.31496062992125984"/>
  <pageSetup paperSize="8" scale="60" orientation="portrait" r:id="rId1"/>
  <headerFooter>
    <oddFooter>&amp;LDGPU Ville de Tours&amp;C&amp;F&amp;RPortrait_Tours_RP2020.xlsx</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tabColor rgb="FF647586"/>
  </sheetPr>
  <dimension ref="A2:N85"/>
  <sheetViews>
    <sheetView showGridLines="0" zoomScaleNormal="100" workbookViewId="0">
      <selection activeCell="G29" sqref="G29"/>
    </sheetView>
  </sheetViews>
  <sheetFormatPr baseColWidth="10" defaultColWidth="11.44140625" defaultRowHeight="13.8"/>
  <cols>
    <col min="1" max="1" width="18.6640625" style="55" bestFit="1" customWidth="1"/>
    <col min="2" max="2" width="20.6640625" style="55" bestFit="1" customWidth="1"/>
    <col min="3" max="3" width="11.44140625" style="55"/>
    <col min="4" max="5" width="11.44140625" style="55" customWidth="1"/>
    <col min="6" max="16384" width="11.44140625" style="55"/>
  </cols>
  <sheetData>
    <row r="2" spans="1:14" s="137" customFormat="1" ht="15.6">
      <c r="A2" s="1462" t="s">
        <v>604</v>
      </c>
      <c r="B2" s="1462"/>
      <c r="D2" s="1462" t="s">
        <v>355</v>
      </c>
      <c r="E2" s="1462"/>
      <c r="F2" s="1462"/>
      <c r="H2" s="1462" t="s">
        <v>191</v>
      </c>
      <c r="I2" s="1462"/>
      <c r="J2" s="1462"/>
      <c r="L2" s="1462" t="s">
        <v>723</v>
      </c>
      <c r="M2" s="1462"/>
      <c r="N2" s="1462"/>
    </row>
    <row r="3" spans="1:14" ht="14.4" thickBot="1">
      <c r="H3" s="324"/>
      <c r="I3" s="325"/>
      <c r="J3" s="325"/>
    </row>
    <row r="4" spans="1:14">
      <c r="A4" s="323" t="s">
        <v>605</v>
      </c>
      <c r="B4" s="323" t="s">
        <v>606</v>
      </c>
      <c r="E4" s="322">
        <v>2009</v>
      </c>
      <c r="H4" s="324"/>
      <c r="I4" s="326">
        <v>1975</v>
      </c>
      <c r="J4" s="325"/>
      <c r="L4" s="55">
        <v>2022</v>
      </c>
    </row>
    <row r="5" spans="1:14">
      <c r="A5" s="556" t="s">
        <v>598</v>
      </c>
      <c r="B5" s="556" t="s">
        <v>607</v>
      </c>
      <c r="E5" s="322">
        <v>2014</v>
      </c>
      <c r="H5" s="324"/>
      <c r="I5" s="326">
        <v>1982</v>
      </c>
      <c r="J5" s="325"/>
    </row>
    <row r="6" spans="1:14">
      <c r="A6" s="557" t="s">
        <v>540</v>
      </c>
      <c r="B6" s="557" t="s">
        <v>607</v>
      </c>
      <c r="E6" s="322">
        <v>2020</v>
      </c>
      <c r="H6" s="324"/>
      <c r="I6" s="326">
        <v>1990</v>
      </c>
      <c r="J6" s="325"/>
    </row>
    <row r="7" spans="1:14">
      <c r="A7" s="555" t="s">
        <v>588</v>
      </c>
      <c r="B7" s="557" t="s">
        <v>607</v>
      </c>
      <c r="H7" s="324"/>
      <c r="I7" s="326">
        <v>1999</v>
      </c>
      <c r="J7" s="325"/>
    </row>
    <row r="8" spans="1:14">
      <c r="A8" s="557" t="s">
        <v>587</v>
      </c>
      <c r="B8" s="557" t="s">
        <v>608</v>
      </c>
      <c r="H8" s="324"/>
      <c r="I8" s="326">
        <v>2008</v>
      </c>
      <c r="J8" s="325"/>
    </row>
    <row r="9" spans="1:14">
      <c r="A9" s="557" t="s">
        <v>602</v>
      </c>
      <c r="B9" s="557" t="s">
        <v>609</v>
      </c>
      <c r="H9" s="324"/>
      <c r="I9" s="616">
        <v>2009</v>
      </c>
      <c r="J9" s="325"/>
    </row>
    <row r="10" spans="1:14">
      <c r="A10" s="557" t="s">
        <v>601</v>
      </c>
      <c r="B10" s="557" t="s">
        <v>609</v>
      </c>
      <c r="H10" s="322"/>
      <c r="I10" s="1201">
        <v>2014</v>
      </c>
    </row>
    <row r="11" spans="1:14">
      <c r="A11" s="557" t="s">
        <v>594</v>
      </c>
      <c r="B11" s="557" t="s">
        <v>607</v>
      </c>
      <c r="I11" s="1202">
        <v>2020</v>
      </c>
    </row>
    <row r="12" spans="1:14">
      <c r="A12" s="557" t="s">
        <v>592</v>
      </c>
      <c r="B12" s="557" t="s">
        <v>607</v>
      </c>
      <c r="F12" s="55" t="s">
        <v>720</v>
      </c>
    </row>
    <row r="13" spans="1:14">
      <c r="A13" s="557" t="s">
        <v>589</v>
      </c>
      <c r="B13" s="557" t="s">
        <v>607</v>
      </c>
    </row>
    <row r="14" spans="1:14">
      <c r="A14" s="557" t="s">
        <v>583</v>
      </c>
      <c r="B14" s="557" t="s">
        <v>608</v>
      </c>
    </row>
    <row r="15" spans="1:14">
      <c r="A15" s="557" t="s">
        <v>596</v>
      </c>
      <c r="B15" s="557" t="s">
        <v>607</v>
      </c>
    </row>
    <row r="16" spans="1:14">
      <c r="A16" s="557" t="s">
        <v>593</v>
      </c>
      <c r="B16" s="557" t="s">
        <v>607</v>
      </c>
    </row>
    <row r="17" spans="1:2">
      <c r="A17" s="557" t="s">
        <v>590</v>
      </c>
      <c r="B17" s="557" t="s">
        <v>607</v>
      </c>
    </row>
    <row r="18" spans="1:2">
      <c r="A18" s="557" t="s">
        <v>603</v>
      </c>
      <c r="B18" s="557" t="s">
        <v>608</v>
      </c>
    </row>
    <row r="19" spans="1:2">
      <c r="A19" s="557" t="s">
        <v>582</v>
      </c>
      <c r="B19" s="557" t="s">
        <v>608</v>
      </c>
    </row>
    <row r="20" spans="1:2">
      <c r="A20" s="557" t="s">
        <v>572</v>
      </c>
      <c r="B20" s="557" t="s">
        <v>609</v>
      </c>
    </row>
    <row r="21" spans="1:2">
      <c r="A21" s="557" t="s">
        <v>591</v>
      </c>
      <c r="B21" s="557" t="s">
        <v>607</v>
      </c>
    </row>
    <row r="22" spans="1:2">
      <c r="A22" s="555" t="s">
        <v>595</v>
      </c>
      <c r="B22" s="557" t="s">
        <v>607</v>
      </c>
    </row>
    <row r="23" spans="1:2">
      <c r="A23" s="557" t="s">
        <v>564</v>
      </c>
      <c r="B23" s="557" t="s">
        <v>607</v>
      </c>
    </row>
    <row r="24" spans="1:2">
      <c r="A24" s="557" t="s">
        <v>600</v>
      </c>
      <c r="B24" s="557" t="s">
        <v>609</v>
      </c>
    </row>
    <row r="25" spans="1:2">
      <c r="A25" s="557" t="s">
        <v>599</v>
      </c>
      <c r="B25" s="557" t="s">
        <v>609</v>
      </c>
    </row>
    <row r="26" spans="1:2">
      <c r="A26" s="558" t="s">
        <v>597</v>
      </c>
      <c r="B26" s="558" t="s">
        <v>607</v>
      </c>
    </row>
    <row r="27" spans="1:2" ht="14.4" thickBot="1">
      <c r="A27"/>
      <c r="B27"/>
    </row>
    <row r="28" spans="1:2">
      <c r="A28" s="323" t="s">
        <v>659</v>
      </c>
      <c r="B28"/>
    </row>
    <row r="29" spans="1:2">
      <c r="A29" s="880" t="s">
        <v>531</v>
      </c>
      <c r="B29"/>
    </row>
    <row r="30" spans="1:2">
      <c r="A30" s="881" t="s">
        <v>532</v>
      </c>
      <c r="B30"/>
    </row>
    <row r="31" spans="1:2">
      <c r="A31" s="881" t="s">
        <v>533</v>
      </c>
      <c r="B31"/>
    </row>
    <row r="32" spans="1:2">
      <c r="A32" s="881" t="s">
        <v>534</v>
      </c>
      <c r="B32"/>
    </row>
    <row r="33" spans="1:2">
      <c r="A33" s="881" t="s">
        <v>535</v>
      </c>
      <c r="B33"/>
    </row>
    <row r="34" spans="1:2">
      <c r="A34" s="881" t="s">
        <v>536</v>
      </c>
      <c r="B34"/>
    </row>
    <row r="35" spans="1:2">
      <c r="A35" s="881" t="s">
        <v>537</v>
      </c>
      <c r="B35"/>
    </row>
    <row r="36" spans="1:2">
      <c r="A36" s="881" t="s">
        <v>538</v>
      </c>
      <c r="B36"/>
    </row>
    <row r="37" spans="1:2">
      <c r="A37" s="881" t="s">
        <v>539</v>
      </c>
      <c r="B37"/>
    </row>
    <row r="38" spans="1:2">
      <c r="A38" s="881" t="s">
        <v>540</v>
      </c>
      <c r="B38"/>
    </row>
    <row r="39" spans="1:2">
      <c r="A39" s="881" t="s">
        <v>541</v>
      </c>
      <c r="B39"/>
    </row>
    <row r="40" spans="1:2">
      <c r="A40" s="881" t="s">
        <v>542</v>
      </c>
      <c r="B40"/>
    </row>
    <row r="41" spans="1:2">
      <c r="A41" s="881" t="s">
        <v>543</v>
      </c>
      <c r="B41"/>
    </row>
    <row r="42" spans="1:2">
      <c r="A42" s="881" t="s">
        <v>544</v>
      </c>
      <c r="B42"/>
    </row>
    <row r="43" spans="1:2">
      <c r="A43" s="881" t="s">
        <v>545</v>
      </c>
      <c r="B43"/>
    </row>
    <row r="44" spans="1:2">
      <c r="A44" s="881" t="s">
        <v>546</v>
      </c>
      <c r="B44"/>
    </row>
    <row r="45" spans="1:2">
      <c r="A45" s="881" t="s">
        <v>547</v>
      </c>
      <c r="B45"/>
    </row>
    <row r="46" spans="1:2">
      <c r="A46" s="881" t="s">
        <v>548</v>
      </c>
      <c r="B46"/>
    </row>
    <row r="47" spans="1:2">
      <c r="A47" s="881" t="s">
        <v>549</v>
      </c>
      <c r="B47"/>
    </row>
    <row r="48" spans="1:2">
      <c r="A48" s="881" t="s">
        <v>550</v>
      </c>
      <c r="B48"/>
    </row>
    <row r="49" spans="1:5">
      <c r="A49" s="881" t="s">
        <v>551</v>
      </c>
      <c r="B49"/>
    </row>
    <row r="50" spans="1:5">
      <c r="A50" s="881" t="s">
        <v>552</v>
      </c>
      <c r="B50"/>
    </row>
    <row r="51" spans="1:5">
      <c r="A51" s="881" t="s">
        <v>553</v>
      </c>
      <c r="B51"/>
    </row>
    <row r="52" spans="1:5">
      <c r="A52" s="881" t="s">
        <v>554</v>
      </c>
      <c r="B52"/>
    </row>
    <row r="53" spans="1:5">
      <c r="A53" s="881" t="s">
        <v>555</v>
      </c>
      <c r="B53"/>
    </row>
    <row r="54" spans="1:5">
      <c r="A54" s="881" t="s">
        <v>556</v>
      </c>
      <c r="B54"/>
    </row>
    <row r="55" spans="1:5">
      <c r="A55" s="881" t="s">
        <v>557</v>
      </c>
      <c r="B55"/>
    </row>
    <row r="56" spans="1:5">
      <c r="A56" s="881" t="s">
        <v>558</v>
      </c>
      <c r="B56"/>
    </row>
    <row r="57" spans="1:5">
      <c r="A57" s="881" t="s">
        <v>559</v>
      </c>
      <c r="B57"/>
    </row>
    <row r="58" spans="1:5">
      <c r="A58" s="881" t="s">
        <v>560</v>
      </c>
      <c r="B58"/>
      <c r="C58" s="322"/>
      <c r="D58" s="322"/>
      <c r="E58" s="322"/>
    </row>
    <row r="59" spans="1:5">
      <c r="A59" s="881" t="s">
        <v>561</v>
      </c>
      <c r="B59"/>
    </row>
    <row r="60" spans="1:5">
      <c r="A60" s="881" t="s">
        <v>562</v>
      </c>
      <c r="B60"/>
    </row>
    <row r="61" spans="1:5">
      <c r="A61" s="881" t="s">
        <v>563</v>
      </c>
    </row>
    <row r="62" spans="1:5">
      <c r="A62" s="881" t="s">
        <v>564</v>
      </c>
    </row>
    <row r="63" spans="1:5">
      <c r="A63" s="882" t="s">
        <v>565</v>
      </c>
    </row>
    <row r="64" spans="1:5">
      <c r="A64" s="881" t="s">
        <v>566</v>
      </c>
    </row>
    <row r="65" spans="1:1">
      <c r="A65" s="881" t="s">
        <v>567</v>
      </c>
    </row>
    <row r="66" spans="1:1">
      <c r="A66" s="881" t="s">
        <v>568</v>
      </c>
    </row>
    <row r="67" spans="1:1">
      <c r="A67" s="881" t="s">
        <v>569</v>
      </c>
    </row>
    <row r="68" spans="1:1">
      <c r="A68" s="881" t="s">
        <v>570</v>
      </c>
    </row>
    <row r="69" spans="1:1">
      <c r="A69" s="881" t="s">
        <v>571</v>
      </c>
    </row>
    <row r="70" spans="1:1">
      <c r="A70" s="881" t="s">
        <v>572</v>
      </c>
    </row>
    <row r="71" spans="1:1">
      <c r="A71" s="881" t="s">
        <v>573</v>
      </c>
    </row>
    <row r="72" spans="1:1">
      <c r="A72" s="881" t="s">
        <v>574</v>
      </c>
    </row>
    <row r="73" spans="1:1">
      <c r="A73" s="881" t="s">
        <v>575</v>
      </c>
    </row>
    <row r="74" spans="1:1">
      <c r="A74" s="881" t="s">
        <v>576</v>
      </c>
    </row>
    <row r="75" spans="1:1">
      <c r="A75" s="881" t="s">
        <v>577</v>
      </c>
    </row>
    <row r="76" spans="1:1">
      <c r="A76" s="881" t="s">
        <v>578</v>
      </c>
    </row>
    <row r="77" spans="1:1">
      <c r="A77" s="881" t="s">
        <v>579</v>
      </c>
    </row>
    <row r="78" spans="1:1">
      <c r="A78" s="881" t="s">
        <v>580</v>
      </c>
    </row>
    <row r="79" spans="1:1">
      <c r="A79" s="881" t="s">
        <v>581</v>
      </c>
    </row>
    <row r="80" spans="1:1">
      <c r="A80" s="882" t="s">
        <v>582</v>
      </c>
    </row>
    <row r="81" spans="1:1">
      <c r="A81" s="881" t="s">
        <v>583</v>
      </c>
    </row>
    <row r="82" spans="1:1">
      <c r="A82" s="881" t="s">
        <v>584</v>
      </c>
    </row>
    <row r="83" spans="1:1">
      <c r="A83" s="881" t="s">
        <v>585</v>
      </c>
    </row>
    <row r="84" spans="1:1">
      <c r="A84" s="881" t="s">
        <v>586</v>
      </c>
    </row>
    <row r="85" spans="1:1">
      <c r="A85" s="883" t="s">
        <v>587</v>
      </c>
    </row>
  </sheetData>
  <sheetProtection algorithmName="SHA-512" hashValue="GqlqS+cA0G3+vcqbO/gh2DtpuAHzGWb9/2mHaQT4iUaOE28+6q4nwB+pzQoBFjzS/8XuqvdQ9+LMHRzfhw/ncQ==" saltValue="adHePb1qItVF2UXtQRVb9A==" spinCount="100000" sheet="1" objects="1" scenarios="1"/>
  <sortState ref="O8:O29">
    <sortCondition ref="O8"/>
  </sortState>
  <mergeCells count="4">
    <mergeCell ref="H2:J2"/>
    <mergeCell ref="D2:F2"/>
    <mergeCell ref="A2:B2"/>
    <mergeCell ref="L2:N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647586"/>
  </sheetPr>
  <dimension ref="A2:BQ220"/>
  <sheetViews>
    <sheetView showGridLines="0" zoomScale="70" zoomScaleNormal="70" workbookViewId="0">
      <pane xSplit="2" ySplit="3" topLeftCell="C19" activePane="bottomRight" state="frozen"/>
      <selection activeCell="B116" sqref="B116"/>
      <selection pane="topRight" activeCell="B116" sqref="B116"/>
      <selection pane="bottomLeft" activeCell="B116" sqref="B116"/>
      <selection pane="bottomRight" activeCell="AT3" sqref="AT3"/>
    </sheetView>
  </sheetViews>
  <sheetFormatPr baseColWidth="10" defaultColWidth="11.44140625" defaultRowHeight="13.8"/>
  <cols>
    <col min="1" max="1" width="35" style="244" bestFit="1" customWidth="1"/>
    <col min="2" max="2" width="37.6640625" style="245" customWidth="1"/>
    <col min="3" max="4" width="8.6640625" style="244" bestFit="1" customWidth="1"/>
    <col min="5" max="6" width="10.33203125" style="244" bestFit="1" customWidth="1"/>
    <col min="7" max="8" width="11.33203125" style="244" bestFit="1" customWidth="1"/>
    <col min="9" max="62" width="11.33203125" style="244" customWidth="1"/>
    <col min="63" max="69" width="11.44140625" style="244"/>
    <col min="70" max="16384" width="11.44140625" style="247"/>
  </cols>
  <sheetData>
    <row r="2" spans="1:62">
      <c r="A2" s="247"/>
      <c r="B2" s="247"/>
      <c r="C2" s="1386">
        <f>'Aides traitements'!$I$7</f>
        <v>1999</v>
      </c>
      <c r="D2" s="1380"/>
      <c r="E2" s="1380"/>
      <c r="F2" s="1380"/>
      <c r="G2" s="1380"/>
      <c r="H2" s="1380"/>
      <c r="I2" s="1380"/>
      <c r="J2" s="1380"/>
      <c r="K2" s="1380"/>
      <c r="L2" s="1380"/>
      <c r="M2" s="1380"/>
      <c r="N2" s="1380"/>
      <c r="O2" s="1380"/>
      <c r="P2" s="1380"/>
      <c r="Q2" s="1380"/>
      <c r="R2" s="1380"/>
      <c r="S2" s="1380"/>
      <c r="T2" s="1380"/>
      <c r="U2" s="1380"/>
      <c r="V2" s="1387"/>
      <c r="W2" s="1379">
        <f>'Aides traitements'!$I$8</f>
        <v>2008</v>
      </c>
      <c r="X2" s="1380"/>
      <c r="Y2" s="1380"/>
      <c r="Z2" s="1380"/>
      <c r="AA2" s="1380"/>
      <c r="AB2" s="1380"/>
      <c r="AC2" s="1380"/>
      <c r="AD2" s="1380"/>
      <c r="AE2" s="1380"/>
      <c r="AF2" s="1380"/>
      <c r="AG2" s="1380"/>
      <c r="AH2" s="1380"/>
      <c r="AI2" s="1380"/>
      <c r="AJ2" s="1380"/>
      <c r="AK2" s="1380"/>
      <c r="AL2" s="1380"/>
      <c r="AM2" s="1380"/>
      <c r="AN2" s="1380"/>
      <c r="AO2" s="1380"/>
      <c r="AP2" s="1381"/>
      <c r="AQ2" s="1384">
        <f>'Aides traitements'!$I$9</f>
        <v>2009</v>
      </c>
      <c r="AR2" s="1385"/>
      <c r="AS2" s="1385"/>
      <c r="AT2" s="1385"/>
      <c r="AU2" s="1385"/>
      <c r="AV2" s="1385"/>
      <c r="AW2" s="1385"/>
      <c r="AX2" s="1385"/>
      <c r="AY2" s="1385"/>
      <c r="AZ2" s="1385"/>
      <c r="BA2" s="1385"/>
      <c r="BB2" s="1385"/>
      <c r="BC2" s="1385"/>
      <c r="BD2" s="1385"/>
      <c r="BE2" s="1385"/>
      <c r="BF2" s="1385"/>
      <c r="BG2" s="1385"/>
      <c r="BH2" s="1385"/>
      <c r="BI2" s="1385"/>
      <c r="BJ2" s="1385"/>
    </row>
    <row r="3" spans="1:62">
      <c r="C3" s="248" t="s">
        <v>91</v>
      </c>
      <c r="D3" s="248" t="s">
        <v>92</v>
      </c>
      <c r="E3" s="248" t="s">
        <v>93</v>
      </c>
      <c r="F3" s="248" t="s">
        <v>94</v>
      </c>
      <c r="G3" s="248" t="s">
        <v>95</v>
      </c>
      <c r="H3" s="248" t="s">
        <v>96</v>
      </c>
      <c r="I3" s="248" t="s">
        <v>97</v>
      </c>
      <c r="J3" s="248" t="s">
        <v>98</v>
      </c>
      <c r="K3" s="248" t="s">
        <v>99</v>
      </c>
      <c r="L3" s="248" t="s">
        <v>100</v>
      </c>
      <c r="M3" s="248" t="s">
        <v>101</v>
      </c>
      <c r="N3" s="248" t="s">
        <v>102</v>
      </c>
      <c r="O3" s="248" t="s">
        <v>103</v>
      </c>
      <c r="P3" s="248" t="s">
        <v>104</v>
      </c>
      <c r="Q3" s="248" t="s">
        <v>105</v>
      </c>
      <c r="R3" s="248" t="s">
        <v>106</v>
      </c>
      <c r="S3" s="248" t="s">
        <v>107</v>
      </c>
      <c r="T3" s="248" t="s">
        <v>287</v>
      </c>
      <c r="U3" s="248" t="s">
        <v>108</v>
      </c>
      <c r="V3" s="258" t="s">
        <v>458</v>
      </c>
      <c r="W3" s="264" t="s">
        <v>91</v>
      </c>
      <c r="X3" s="248" t="s">
        <v>92</v>
      </c>
      <c r="Y3" s="248" t="s">
        <v>93</v>
      </c>
      <c r="Z3" s="248" t="s">
        <v>94</v>
      </c>
      <c r="AA3" s="248" t="s">
        <v>95</v>
      </c>
      <c r="AB3" s="248" t="s">
        <v>96</v>
      </c>
      <c r="AC3" s="248" t="s">
        <v>97</v>
      </c>
      <c r="AD3" s="248" t="s">
        <v>98</v>
      </c>
      <c r="AE3" s="248" t="s">
        <v>99</v>
      </c>
      <c r="AF3" s="248" t="s">
        <v>100</v>
      </c>
      <c r="AG3" s="248" t="s">
        <v>101</v>
      </c>
      <c r="AH3" s="248" t="s">
        <v>102</v>
      </c>
      <c r="AI3" s="248" t="s">
        <v>103</v>
      </c>
      <c r="AJ3" s="248" t="s">
        <v>104</v>
      </c>
      <c r="AK3" s="248" t="s">
        <v>105</v>
      </c>
      <c r="AL3" s="248" t="s">
        <v>106</v>
      </c>
      <c r="AM3" s="248" t="s">
        <v>107</v>
      </c>
      <c r="AN3" s="248" t="s">
        <v>287</v>
      </c>
      <c r="AO3" s="248" t="s">
        <v>108</v>
      </c>
      <c r="AP3" s="265" t="s">
        <v>458</v>
      </c>
      <c r="AQ3" s="263" t="s">
        <v>91</v>
      </c>
      <c r="AR3" s="249" t="s">
        <v>92</v>
      </c>
      <c r="AS3" s="249" t="s">
        <v>93</v>
      </c>
      <c r="AT3" s="249" t="s">
        <v>94</v>
      </c>
      <c r="AU3" s="249" t="s">
        <v>95</v>
      </c>
      <c r="AV3" s="249" t="s">
        <v>96</v>
      </c>
      <c r="AW3" s="249" t="s">
        <v>97</v>
      </c>
      <c r="AX3" s="249" t="s">
        <v>98</v>
      </c>
      <c r="AY3" s="249" t="s">
        <v>99</v>
      </c>
      <c r="AZ3" s="249" t="s">
        <v>100</v>
      </c>
      <c r="BA3" s="249" t="s">
        <v>101</v>
      </c>
      <c r="BB3" s="249" t="s">
        <v>102</v>
      </c>
      <c r="BC3" s="249" t="s">
        <v>103</v>
      </c>
      <c r="BD3" s="249" t="s">
        <v>104</v>
      </c>
      <c r="BE3" s="249" t="s">
        <v>105</v>
      </c>
      <c r="BF3" s="249" t="s">
        <v>106</v>
      </c>
      <c r="BG3" s="249" t="s">
        <v>107</v>
      </c>
      <c r="BH3" s="249" t="s">
        <v>287</v>
      </c>
      <c r="BI3" s="249" t="s">
        <v>108</v>
      </c>
      <c r="BJ3" s="249" t="s">
        <v>458</v>
      </c>
    </row>
    <row r="4" spans="1:62" ht="14.4" thickBot="1">
      <c r="A4" s="1382" t="s">
        <v>6</v>
      </c>
      <c r="B4" s="250" t="s">
        <v>114</v>
      </c>
      <c r="C4" s="251">
        <v>271</v>
      </c>
      <c r="D4" s="251">
        <v>345</v>
      </c>
      <c r="E4" s="251">
        <v>365</v>
      </c>
      <c r="F4" s="251">
        <v>369</v>
      </c>
      <c r="G4" s="251">
        <v>212</v>
      </c>
      <c r="H4" s="251">
        <v>185</v>
      </c>
      <c r="I4" s="251">
        <v>238</v>
      </c>
      <c r="J4" s="251">
        <v>353</v>
      </c>
      <c r="K4" s="251">
        <v>387</v>
      </c>
      <c r="L4" s="251">
        <v>367</v>
      </c>
      <c r="M4" s="251">
        <v>361</v>
      </c>
      <c r="N4" s="251">
        <v>255</v>
      </c>
      <c r="O4" s="251">
        <v>230</v>
      </c>
      <c r="P4" s="251">
        <v>183</v>
      </c>
      <c r="Q4" s="251">
        <v>148</v>
      </c>
      <c r="R4" s="251">
        <v>97</v>
      </c>
      <c r="S4" s="251">
        <v>43</v>
      </c>
      <c r="T4" s="251">
        <v>30</v>
      </c>
      <c r="U4" s="251">
        <v>7</v>
      </c>
      <c r="V4" s="259">
        <v>1</v>
      </c>
      <c r="W4" s="266">
        <v>250.994756</v>
      </c>
      <c r="X4" s="251">
        <v>346.129864</v>
      </c>
      <c r="Y4" s="251">
        <v>400.09108300000003</v>
      </c>
      <c r="Z4" s="251">
        <v>416.18342200000001</v>
      </c>
      <c r="AA4" s="251">
        <v>236.195931</v>
      </c>
      <c r="AB4" s="251">
        <v>162.07039299999997</v>
      </c>
      <c r="AC4" s="251">
        <v>183.33609200000001</v>
      </c>
      <c r="AD4" s="251">
        <v>284.66983600000003</v>
      </c>
      <c r="AE4" s="251">
        <v>358.27477199999998</v>
      </c>
      <c r="AF4" s="251">
        <v>389.63700499999999</v>
      </c>
      <c r="AG4" s="251">
        <v>411.91477900000001</v>
      </c>
      <c r="AH4" s="251">
        <v>399.01302000000004</v>
      </c>
      <c r="AI4" s="251">
        <v>357.635289</v>
      </c>
      <c r="AJ4" s="251">
        <v>285.38110399999999</v>
      </c>
      <c r="AK4" s="251">
        <v>189.24603100000002</v>
      </c>
      <c r="AL4" s="251">
        <v>174.00434100000001</v>
      </c>
      <c r="AM4" s="251">
        <v>119.94623299999999</v>
      </c>
      <c r="AN4" s="251">
        <v>83.929608999999999</v>
      </c>
      <c r="AO4" s="251">
        <v>19.205214999999999</v>
      </c>
      <c r="AP4" s="267">
        <v>3.0241159999999998</v>
      </c>
      <c r="AQ4" s="266">
        <v>253.934565819</v>
      </c>
      <c r="AR4" s="251">
        <v>352.08126566300001</v>
      </c>
      <c r="AS4" s="251">
        <v>387.74653499599998</v>
      </c>
      <c r="AT4" s="251">
        <v>402.379013681</v>
      </c>
      <c r="AU4" s="251">
        <v>226.97427871099998</v>
      </c>
      <c r="AV4" s="251">
        <v>190.686514155</v>
      </c>
      <c r="AW4" s="251">
        <v>207.11708475699999</v>
      </c>
      <c r="AX4" s="251">
        <v>232.82268773200002</v>
      </c>
      <c r="AY4" s="251">
        <v>406.62347734600002</v>
      </c>
      <c r="AZ4" s="251">
        <v>340.31781184099998</v>
      </c>
      <c r="BA4" s="251">
        <v>394.259648583</v>
      </c>
      <c r="BB4" s="251">
        <v>373.47936322099997</v>
      </c>
      <c r="BC4" s="251">
        <v>358.83296321099999</v>
      </c>
      <c r="BD4" s="251">
        <v>370.892302997</v>
      </c>
      <c r="BE4" s="251">
        <v>228.77275711499999</v>
      </c>
      <c r="BF4" s="251">
        <v>139.26270005200001</v>
      </c>
      <c r="BG4" s="251">
        <v>138.106354232</v>
      </c>
      <c r="BH4" s="251">
        <v>70.370889355000003</v>
      </c>
      <c r="BI4" s="251">
        <v>54.197535640099993</v>
      </c>
      <c r="BJ4" s="267">
        <v>1.0283900377999999</v>
      </c>
    </row>
    <row r="5" spans="1:62">
      <c r="A5" s="1383"/>
      <c r="B5" s="252" t="s">
        <v>115</v>
      </c>
      <c r="C5" s="253">
        <v>244</v>
      </c>
      <c r="D5" s="253">
        <v>301</v>
      </c>
      <c r="E5" s="253">
        <v>367</v>
      </c>
      <c r="F5" s="253">
        <v>373</v>
      </c>
      <c r="G5" s="253">
        <v>211</v>
      </c>
      <c r="H5" s="253">
        <v>174</v>
      </c>
      <c r="I5" s="253">
        <v>259</v>
      </c>
      <c r="J5" s="253">
        <v>364</v>
      </c>
      <c r="K5" s="253">
        <v>406</v>
      </c>
      <c r="L5" s="253">
        <v>414</v>
      </c>
      <c r="M5" s="253">
        <v>340</v>
      </c>
      <c r="N5" s="253">
        <v>231</v>
      </c>
      <c r="O5" s="253">
        <v>229</v>
      </c>
      <c r="P5" s="253">
        <v>177</v>
      </c>
      <c r="Q5" s="253">
        <v>145</v>
      </c>
      <c r="R5" s="253">
        <v>107</v>
      </c>
      <c r="S5" s="253">
        <v>51</v>
      </c>
      <c r="T5" s="253">
        <v>47</v>
      </c>
      <c r="U5" s="253">
        <v>24</v>
      </c>
      <c r="V5" s="260">
        <v>7</v>
      </c>
      <c r="W5" s="268">
        <v>220.632486</v>
      </c>
      <c r="X5" s="253">
        <v>328.24582499999997</v>
      </c>
      <c r="Y5" s="253">
        <v>391.32783499999999</v>
      </c>
      <c r="Z5" s="253">
        <v>369.05442399999998</v>
      </c>
      <c r="AA5" s="253">
        <v>208.92668</v>
      </c>
      <c r="AB5" s="253">
        <v>165.980403</v>
      </c>
      <c r="AC5" s="253">
        <v>227.717016</v>
      </c>
      <c r="AD5" s="253">
        <v>304.63476299999996</v>
      </c>
      <c r="AE5" s="253">
        <v>404.81813899999997</v>
      </c>
      <c r="AF5" s="253">
        <v>430.31843700000002</v>
      </c>
      <c r="AG5" s="253">
        <v>417.34775100000002</v>
      </c>
      <c r="AH5" s="253">
        <v>384.77503500000006</v>
      </c>
      <c r="AI5" s="253">
        <v>417.33564100000001</v>
      </c>
      <c r="AJ5" s="253">
        <v>264.12751700000001</v>
      </c>
      <c r="AK5" s="253">
        <v>229.286734</v>
      </c>
      <c r="AL5" s="253">
        <v>195.22159500000001</v>
      </c>
      <c r="AM5" s="253">
        <v>162.35652099999999</v>
      </c>
      <c r="AN5" s="253">
        <v>128.51570400000003</v>
      </c>
      <c r="AO5" s="253">
        <v>42.386065000000002</v>
      </c>
      <c r="AP5" s="269">
        <v>13.10854</v>
      </c>
      <c r="AQ5" s="268">
        <v>238.29903762399999</v>
      </c>
      <c r="AR5" s="253">
        <v>280.12421527099997</v>
      </c>
      <c r="AS5" s="253">
        <v>381.74676546300003</v>
      </c>
      <c r="AT5" s="253">
        <v>374.55451346799998</v>
      </c>
      <c r="AU5" s="253">
        <v>184.20498340700001</v>
      </c>
      <c r="AV5" s="253">
        <v>239.32286137700001</v>
      </c>
      <c r="AW5" s="253">
        <v>224.74772225799998</v>
      </c>
      <c r="AX5" s="253">
        <v>306.12285907400002</v>
      </c>
      <c r="AY5" s="253">
        <v>393.05962667699998</v>
      </c>
      <c r="AZ5" s="253">
        <v>393.44570399599996</v>
      </c>
      <c r="BA5" s="253">
        <v>406.64969725099996</v>
      </c>
      <c r="BB5" s="253">
        <v>392.39029333799999</v>
      </c>
      <c r="BC5" s="253">
        <v>363.16799055299998</v>
      </c>
      <c r="BD5" s="253">
        <v>387.63501206799998</v>
      </c>
      <c r="BE5" s="253">
        <v>226.32637079700001</v>
      </c>
      <c r="BF5" s="253">
        <v>189.26602483899998</v>
      </c>
      <c r="BG5" s="253">
        <v>176.447595839</v>
      </c>
      <c r="BH5" s="253">
        <v>119.28443967300001</v>
      </c>
      <c r="BI5" s="253">
        <v>73.013779934399992</v>
      </c>
      <c r="BJ5" s="269">
        <v>13.304367943300001</v>
      </c>
    </row>
    <row r="6" spans="1:62" ht="14.4" thickBot="1">
      <c r="A6" s="1382" t="s">
        <v>8</v>
      </c>
      <c r="B6" s="250" t="s">
        <v>116</v>
      </c>
      <c r="C6" s="254">
        <v>146</v>
      </c>
      <c r="D6" s="254">
        <v>156</v>
      </c>
      <c r="E6" s="254">
        <v>165</v>
      </c>
      <c r="F6" s="254">
        <v>164</v>
      </c>
      <c r="G6" s="254">
        <v>96</v>
      </c>
      <c r="H6" s="254">
        <v>124</v>
      </c>
      <c r="I6" s="254">
        <v>161</v>
      </c>
      <c r="J6" s="254">
        <v>173</v>
      </c>
      <c r="K6" s="254">
        <v>161</v>
      </c>
      <c r="L6" s="254">
        <v>179</v>
      </c>
      <c r="M6" s="254">
        <v>156</v>
      </c>
      <c r="N6" s="254">
        <v>101</v>
      </c>
      <c r="O6" s="254">
        <v>77</v>
      </c>
      <c r="P6" s="254">
        <v>87</v>
      </c>
      <c r="Q6" s="254">
        <v>70</v>
      </c>
      <c r="R6" s="254">
        <v>59</v>
      </c>
      <c r="S6" s="254">
        <v>28</v>
      </c>
      <c r="T6" s="254">
        <v>36</v>
      </c>
      <c r="U6" s="254">
        <v>18</v>
      </c>
      <c r="V6" s="261">
        <v>4</v>
      </c>
      <c r="W6" s="270">
        <v>147.98358899999999</v>
      </c>
      <c r="X6" s="254">
        <v>202.95097799999999</v>
      </c>
      <c r="Y6" s="254">
        <v>188.95616699999999</v>
      </c>
      <c r="Z6" s="254">
        <v>174.33797700000002</v>
      </c>
      <c r="AA6" s="254">
        <v>103.91893</v>
      </c>
      <c r="AB6" s="254">
        <v>81.562449000000001</v>
      </c>
      <c r="AC6" s="254">
        <v>97.071970000000007</v>
      </c>
      <c r="AD6" s="254">
        <v>204.39736099999999</v>
      </c>
      <c r="AE6" s="254">
        <v>217.03180399999997</v>
      </c>
      <c r="AF6" s="254">
        <v>187.32456099999999</v>
      </c>
      <c r="AG6" s="254">
        <v>161.36711099999999</v>
      </c>
      <c r="AH6" s="254">
        <v>174.84273199999998</v>
      </c>
      <c r="AI6" s="254">
        <v>139.28841</v>
      </c>
      <c r="AJ6" s="254">
        <v>99.225943999999998</v>
      </c>
      <c r="AK6" s="254">
        <v>74.691011000000003</v>
      </c>
      <c r="AL6" s="254">
        <v>77.742099999999994</v>
      </c>
      <c r="AM6" s="254">
        <v>58.070281999999999</v>
      </c>
      <c r="AN6" s="254">
        <v>44.501933000000001</v>
      </c>
      <c r="AO6" s="254">
        <v>16.110631000000001</v>
      </c>
      <c r="AP6" s="271">
        <v>2</v>
      </c>
      <c r="AQ6" s="281">
        <v>137.02223967800001</v>
      </c>
      <c r="AR6" s="282">
        <v>179.21394830099999</v>
      </c>
      <c r="AS6" s="282">
        <v>223.17983019299999</v>
      </c>
      <c r="AT6" s="282">
        <v>152.957360521</v>
      </c>
      <c r="AU6" s="282">
        <v>108.00506142399999</v>
      </c>
      <c r="AV6" s="282">
        <v>102.322910873</v>
      </c>
      <c r="AW6" s="282">
        <v>118.036393549</v>
      </c>
      <c r="AX6" s="282">
        <v>136.529622394</v>
      </c>
      <c r="AY6" s="282">
        <v>207.02027084900001</v>
      </c>
      <c r="AZ6" s="282">
        <v>193.49001329299998</v>
      </c>
      <c r="BA6" s="282">
        <v>178.27274988799999</v>
      </c>
      <c r="BB6" s="282">
        <v>144.77016135600002</v>
      </c>
      <c r="BC6" s="282">
        <v>164.41828245599999</v>
      </c>
      <c r="BD6" s="282">
        <v>139.18910921200001</v>
      </c>
      <c r="BE6" s="282">
        <v>88.750673467000013</v>
      </c>
      <c r="BF6" s="282">
        <v>65.491909643</v>
      </c>
      <c r="BG6" s="282">
        <v>66.345368551999996</v>
      </c>
      <c r="BH6" s="282">
        <v>43.274924414799997</v>
      </c>
      <c r="BI6" s="282">
        <v>22.085249357199999</v>
      </c>
      <c r="BJ6" s="283">
        <v>4</v>
      </c>
    </row>
    <row r="7" spans="1:62">
      <c r="A7" s="1383"/>
      <c r="B7" s="252" t="s">
        <v>117</v>
      </c>
      <c r="C7" s="255">
        <v>166</v>
      </c>
      <c r="D7" s="255">
        <v>128</v>
      </c>
      <c r="E7" s="255">
        <v>158</v>
      </c>
      <c r="F7" s="255">
        <v>129</v>
      </c>
      <c r="G7" s="255">
        <v>106</v>
      </c>
      <c r="H7" s="255">
        <v>140</v>
      </c>
      <c r="I7" s="255">
        <v>176</v>
      </c>
      <c r="J7" s="255">
        <v>175</v>
      </c>
      <c r="K7" s="255">
        <v>180</v>
      </c>
      <c r="L7" s="255">
        <v>178</v>
      </c>
      <c r="M7" s="255">
        <v>161</v>
      </c>
      <c r="N7" s="255">
        <v>98</v>
      </c>
      <c r="O7" s="255">
        <v>86</v>
      </c>
      <c r="P7" s="255">
        <v>78</v>
      </c>
      <c r="Q7" s="255">
        <v>86</v>
      </c>
      <c r="R7" s="255">
        <v>82</v>
      </c>
      <c r="S7" s="255">
        <v>55</v>
      </c>
      <c r="T7" s="255">
        <v>84</v>
      </c>
      <c r="U7" s="255">
        <v>48</v>
      </c>
      <c r="V7" s="262">
        <v>27</v>
      </c>
      <c r="W7" s="272">
        <v>135.34681800000001</v>
      </c>
      <c r="X7" s="255">
        <v>188.86218600000001</v>
      </c>
      <c r="Y7" s="255">
        <v>197.71578600000001</v>
      </c>
      <c r="Z7" s="255">
        <v>152.349784</v>
      </c>
      <c r="AA7" s="255">
        <v>95.370444999999989</v>
      </c>
      <c r="AB7" s="255">
        <v>80.331038000000007</v>
      </c>
      <c r="AC7" s="255">
        <v>133.18050799999997</v>
      </c>
      <c r="AD7" s="255">
        <v>215.68118600000003</v>
      </c>
      <c r="AE7" s="255">
        <v>218.00670800000003</v>
      </c>
      <c r="AF7" s="255">
        <v>179.73338199999998</v>
      </c>
      <c r="AG7" s="255">
        <v>181.43233699999999</v>
      </c>
      <c r="AH7" s="255">
        <v>170.98416699999999</v>
      </c>
      <c r="AI7" s="255">
        <v>156.82428300000001</v>
      </c>
      <c r="AJ7" s="255">
        <v>110.755081</v>
      </c>
      <c r="AK7" s="255">
        <v>90.226377999999983</v>
      </c>
      <c r="AL7" s="255">
        <v>78.866027000000003</v>
      </c>
      <c r="AM7" s="255">
        <v>95.820545999999993</v>
      </c>
      <c r="AN7" s="255">
        <v>75.760255999999998</v>
      </c>
      <c r="AO7" s="255">
        <v>39.304341000000001</v>
      </c>
      <c r="AP7" s="273">
        <v>28.072803</v>
      </c>
      <c r="AQ7" s="284">
        <v>130.95036087300002</v>
      </c>
      <c r="AR7" s="285">
        <v>155.669623014</v>
      </c>
      <c r="AS7" s="285">
        <v>186.19861235499999</v>
      </c>
      <c r="AT7" s="285">
        <v>180.724602764</v>
      </c>
      <c r="AU7" s="285">
        <v>102.101608867</v>
      </c>
      <c r="AV7" s="285">
        <v>89.283012596000006</v>
      </c>
      <c r="AW7" s="285">
        <v>117.58706695400001</v>
      </c>
      <c r="AX7" s="285">
        <v>152.11039330400001</v>
      </c>
      <c r="AY7" s="285">
        <v>222.90152536299999</v>
      </c>
      <c r="AZ7" s="285">
        <v>206.86152723999999</v>
      </c>
      <c r="BA7" s="285">
        <v>169.52338729600001</v>
      </c>
      <c r="BB7" s="285">
        <v>164.28649582200001</v>
      </c>
      <c r="BC7" s="285">
        <v>168.53381094</v>
      </c>
      <c r="BD7" s="285">
        <v>147.42590870399999</v>
      </c>
      <c r="BE7" s="285">
        <v>106.07432478</v>
      </c>
      <c r="BF7" s="285">
        <v>86.845965534999991</v>
      </c>
      <c r="BG7" s="285">
        <v>92.746523496000009</v>
      </c>
      <c r="BH7" s="285">
        <v>93.626569141999994</v>
      </c>
      <c r="BI7" s="285">
        <v>73.154194811399989</v>
      </c>
      <c r="BJ7" s="286">
        <v>32.018406722199998</v>
      </c>
    </row>
    <row r="8" spans="1:62" ht="14.4" thickBot="1">
      <c r="A8" s="1382" t="s">
        <v>7</v>
      </c>
      <c r="B8" s="250" t="s">
        <v>186</v>
      </c>
      <c r="C8" s="251">
        <v>105</v>
      </c>
      <c r="D8" s="251">
        <v>96</v>
      </c>
      <c r="E8" s="251">
        <v>108</v>
      </c>
      <c r="F8" s="251">
        <v>99</v>
      </c>
      <c r="G8" s="251">
        <v>65</v>
      </c>
      <c r="H8" s="251">
        <v>82</v>
      </c>
      <c r="I8" s="251">
        <v>111</v>
      </c>
      <c r="J8" s="251">
        <v>107</v>
      </c>
      <c r="K8" s="251">
        <v>127</v>
      </c>
      <c r="L8" s="251">
        <v>122</v>
      </c>
      <c r="M8" s="251">
        <v>125</v>
      </c>
      <c r="N8" s="251">
        <v>94</v>
      </c>
      <c r="O8" s="251">
        <v>77</v>
      </c>
      <c r="P8" s="251">
        <v>58</v>
      </c>
      <c r="Q8" s="251">
        <v>54</v>
      </c>
      <c r="R8" s="251">
        <v>37</v>
      </c>
      <c r="S8" s="251">
        <v>16</v>
      </c>
      <c r="T8" s="251">
        <v>19</v>
      </c>
      <c r="U8" s="251">
        <v>3</v>
      </c>
      <c r="V8" s="259">
        <v>2</v>
      </c>
      <c r="W8" s="266">
        <v>59.757288000000003</v>
      </c>
      <c r="X8" s="251">
        <v>72.248784000000001</v>
      </c>
      <c r="Y8" s="251">
        <v>103.360916</v>
      </c>
      <c r="Z8" s="251">
        <v>93.228130999999991</v>
      </c>
      <c r="AA8" s="251">
        <v>67.227810000000005</v>
      </c>
      <c r="AB8" s="251">
        <v>52.142956000000005</v>
      </c>
      <c r="AC8" s="251">
        <v>70.872441999999992</v>
      </c>
      <c r="AD8" s="251">
        <v>115.37655100000001</v>
      </c>
      <c r="AE8" s="251">
        <v>136.65407400000001</v>
      </c>
      <c r="AF8" s="251">
        <v>127.82692399999999</v>
      </c>
      <c r="AG8" s="251">
        <v>140.36587000000003</v>
      </c>
      <c r="AH8" s="251">
        <v>100.998122</v>
      </c>
      <c r="AI8" s="251">
        <v>128.60681</v>
      </c>
      <c r="AJ8" s="251">
        <v>98.142403999999999</v>
      </c>
      <c r="AK8" s="251">
        <v>78.065078999999997</v>
      </c>
      <c r="AL8" s="251">
        <v>39.573718</v>
      </c>
      <c r="AM8" s="251">
        <v>34.362206999999998</v>
      </c>
      <c r="AN8" s="251">
        <v>19.254893000000003</v>
      </c>
      <c r="AO8" s="251">
        <v>2.0317879999999997</v>
      </c>
      <c r="AP8" s="267">
        <v>3</v>
      </c>
      <c r="AQ8" s="266">
        <v>72.83170209139999</v>
      </c>
      <c r="AR8" s="251">
        <v>83.827847404000011</v>
      </c>
      <c r="AS8" s="251">
        <v>82.811808051999989</v>
      </c>
      <c r="AT8" s="251">
        <v>119.66515846199999</v>
      </c>
      <c r="AU8" s="251">
        <v>71.893254691999999</v>
      </c>
      <c r="AV8" s="251">
        <v>72.147811770000004</v>
      </c>
      <c r="AW8" s="251">
        <v>73.075421336000005</v>
      </c>
      <c r="AX8" s="251">
        <v>87.04012277999999</v>
      </c>
      <c r="AY8" s="251">
        <v>116.791324106</v>
      </c>
      <c r="AZ8" s="251">
        <v>144.38567723400001</v>
      </c>
      <c r="BA8" s="251">
        <v>141.58595509</v>
      </c>
      <c r="BB8" s="251">
        <v>142.31991325600001</v>
      </c>
      <c r="BC8" s="251">
        <v>104.477400616</v>
      </c>
      <c r="BD8" s="251">
        <v>120.322563686</v>
      </c>
      <c r="BE8" s="251">
        <v>87.071141361000002</v>
      </c>
      <c r="BF8" s="251">
        <v>65.201057421000002</v>
      </c>
      <c r="BG8" s="251">
        <v>39.242544101699998</v>
      </c>
      <c r="BH8" s="251">
        <v>26.669924975399997</v>
      </c>
      <c r="BI8" s="251">
        <v>8.2094465720000009</v>
      </c>
      <c r="BJ8" s="267">
        <v>1.040320071</v>
      </c>
    </row>
    <row r="9" spans="1:62">
      <c r="A9" s="1383"/>
      <c r="B9" s="252" t="s">
        <v>170</v>
      </c>
      <c r="C9" s="253">
        <v>72</v>
      </c>
      <c r="D9" s="253">
        <v>78</v>
      </c>
      <c r="E9" s="253">
        <v>71</v>
      </c>
      <c r="F9" s="253">
        <v>82</v>
      </c>
      <c r="G9" s="253">
        <v>69</v>
      </c>
      <c r="H9" s="253">
        <v>73</v>
      </c>
      <c r="I9" s="253">
        <v>99</v>
      </c>
      <c r="J9" s="253">
        <v>103</v>
      </c>
      <c r="K9" s="253">
        <v>100</v>
      </c>
      <c r="L9" s="253">
        <v>109</v>
      </c>
      <c r="M9" s="253">
        <v>140</v>
      </c>
      <c r="N9" s="253">
        <v>81</v>
      </c>
      <c r="O9" s="253">
        <v>75</v>
      </c>
      <c r="P9" s="253">
        <v>74</v>
      </c>
      <c r="Q9" s="253">
        <v>49</v>
      </c>
      <c r="R9" s="253">
        <v>52</v>
      </c>
      <c r="S9" s="253">
        <v>34</v>
      </c>
      <c r="T9" s="253">
        <v>33</v>
      </c>
      <c r="U9" s="253">
        <v>16</v>
      </c>
      <c r="V9" s="260">
        <v>9</v>
      </c>
      <c r="W9" s="268">
        <v>60.878898000000007</v>
      </c>
      <c r="X9" s="253">
        <v>74.301750999999996</v>
      </c>
      <c r="Y9" s="253">
        <v>79.26185199999999</v>
      </c>
      <c r="Z9" s="253">
        <v>88.159306999999998</v>
      </c>
      <c r="AA9" s="253">
        <v>46.931286</v>
      </c>
      <c r="AB9" s="253">
        <v>32.172519999999999</v>
      </c>
      <c r="AC9" s="253">
        <v>67.608532999999994</v>
      </c>
      <c r="AD9" s="253">
        <v>97.628429000000011</v>
      </c>
      <c r="AE9" s="253">
        <v>122.07866299999999</v>
      </c>
      <c r="AF9" s="253">
        <v>123.208253</v>
      </c>
      <c r="AG9" s="253">
        <v>109.74396299999999</v>
      </c>
      <c r="AH9" s="253">
        <v>111.23047200000001</v>
      </c>
      <c r="AI9" s="253">
        <v>132.065282</v>
      </c>
      <c r="AJ9" s="253">
        <v>84.415642000000005</v>
      </c>
      <c r="AK9" s="253">
        <v>67.177122999999995</v>
      </c>
      <c r="AL9" s="253">
        <v>56.852525999999997</v>
      </c>
      <c r="AM9" s="253">
        <v>43.647493000000004</v>
      </c>
      <c r="AN9" s="253">
        <v>42.436688000000004</v>
      </c>
      <c r="AO9" s="253">
        <v>15.069701999999999</v>
      </c>
      <c r="AP9" s="269">
        <v>11.034851</v>
      </c>
      <c r="AQ9" s="268">
        <v>64.625890255000002</v>
      </c>
      <c r="AR9" s="253">
        <v>74.843241109899992</v>
      </c>
      <c r="AS9" s="253">
        <v>84.9113109436</v>
      </c>
      <c r="AT9" s="253">
        <v>90.163145346000007</v>
      </c>
      <c r="AU9" s="253">
        <v>56.664774635200004</v>
      </c>
      <c r="AV9" s="253">
        <v>48.614361919699995</v>
      </c>
      <c r="AW9" s="253">
        <v>60.696033854700005</v>
      </c>
      <c r="AX9" s="253">
        <v>76.913903049599995</v>
      </c>
      <c r="AY9" s="253">
        <v>113.58180854800001</v>
      </c>
      <c r="AZ9" s="253">
        <v>133.60942473400002</v>
      </c>
      <c r="BA9" s="253">
        <v>119.88058457300001</v>
      </c>
      <c r="BB9" s="253">
        <v>105.65067376799999</v>
      </c>
      <c r="BC9" s="253">
        <v>110.048169407</v>
      </c>
      <c r="BD9" s="253">
        <v>131.99442007599998</v>
      </c>
      <c r="BE9" s="253">
        <v>83.270681212</v>
      </c>
      <c r="BF9" s="253">
        <v>65.094992571999995</v>
      </c>
      <c r="BG9" s="253">
        <v>62.674601058099995</v>
      </c>
      <c r="BH9" s="253">
        <v>34.724731026000001</v>
      </c>
      <c r="BI9" s="253">
        <v>33.4268568293</v>
      </c>
      <c r="BJ9" s="269">
        <v>8</v>
      </c>
    </row>
    <row r="10" spans="1:62" ht="14.4" thickBot="1">
      <c r="A10" s="1382" t="s">
        <v>9</v>
      </c>
      <c r="B10" s="250" t="s">
        <v>118</v>
      </c>
      <c r="C10" s="254">
        <v>54</v>
      </c>
      <c r="D10" s="254">
        <v>76</v>
      </c>
      <c r="E10" s="254">
        <v>89</v>
      </c>
      <c r="F10" s="254">
        <v>100</v>
      </c>
      <c r="G10" s="254">
        <v>41</v>
      </c>
      <c r="H10" s="254">
        <v>45</v>
      </c>
      <c r="I10" s="254">
        <v>62</v>
      </c>
      <c r="J10" s="254">
        <v>72</v>
      </c>
      <c r="K10" s="254">
        <v>113</v>
      </c>
      <c r="L10" s="254">
        <v>99</v>
      </c>
      <c r="M10" s="254">
        <v>76</v>
      </c>
      <c r="N10" s="254">
        <v>56</v>
      </c>
      <c r="O10" s="254">
        <v>36</v>
      </c>
      <c r="P10" s="254">
        <v>25</v>
      </c>
      <c r="Q10" s="254">
        <v>37</v>
      </c>
      <c r="R10" s="254">
        <v>21</v>
      </c>
      <c r="S10" s="254">
        <v>7</v>
      </c>
      <c r="T10" s="254">
        <v>4</v>
      </c>
      <c r="U10" s="254">
        <v>2</v>
      </c>
      <c r="V10" s="261">
        <v>0</v>
      </c>
      <c r="W10" s="270">
        <v>71.394565999999998</v>
      </c>
      <c r="X10" s="254">
        <v>67.366768000000008</v>
      </c>
      <c r="Y10" s="254">
        <v>68.359376999999995</v>
      </c>
      <c r="Z10" s="254">
        <v>85.432090999999986</v>
      </c>
      <c r="AA10" s="254">
        <v>44.797629000000001</v>
      </c>
      <c r="AB10" s="254">
        <v>42.840494999999997</v>
      </c>
      <c r="AC10" s="254">
        <v>42.706581999999997</v>
      </c>
      <c r="AD10" s="254">
        <v>67.468292000000005</v>
      </c>
      <c r="AE10" s="254">
        <v>65.626891999999998</v>
      </c>
      <c r="AF10" s="254">
        <v>79.434868999999992</v>
      </c>
      <c r="AG10" s="254">
        <v>100.851631</v>
      </c>
      <c r="AH10" s="254">
        <v>90.926625000000001</v>
      </c>
      <c r="AI10" s="254">
        <v>62.028745999999998</v>
      </c>
      <c r="AJ10" s="254">
        <v>49.044502999999999</v>
      </c>
      <c r="AK10" s="254">
        <v>38.089129</v>
      </c>
      <c r="AL10" s="254">
        <v>16.030577000000001</v>
      </c>
      <c r="AM10" s="254">
        <v>22.030031999999999</v>
      </c>
      <c r="AN10" s="254">
        <v>7.0138010000000008</v>
      </c>
      <c r="AO10" s="254">
        <v>2.0033780000000001</v>
      </c>
      <c r="AP10" s="271">
        <v>1.0016750000000001</v>
      </c>
      <c r="AQ10" s="281">
        <v>56.794449474500006</v>
      </c>
      <c r="AR10" s="282">
        <v>70.293840118999995</v>
      </c>
      <c r="AS10" s="282">
        <v>66.300621176000007</v>
      </c>
      <c r="AT10" s="282">
        <v>67.826549526999997</v>
      </c>
      <c r="AU10" s="282">
        <v>40.681006045300002</v>
      </c>
      <c r="AV10" s="282">
        <v>41.004409334999998</v>
      </c>
      <c r="AW10" s="282">
        <v>37.822564634900004</v>
      </c>
      <c r="AX10" s="282">
        <v>47.428716817500003</v>
      </c>
      <c r="AY10" s="282">
        <v>72.549716005999997</v>
      </c>
      <c r="AZ10" s="282">
        <v>65.4150223396</v>
      </c>
      <c r="BA10" s="282">
        <v>73.701169477500002</v>
      </c>
      <c r="BB10" s="282">
        <v>92.587537824000009</v>
      </c>
      <c r="BC10" s="282">
        <v>83.543091844999992</v>
      </c>
      <c r="BD10" s="282">
        <v>62.651952695199995</v>
      </c>
      <c r="BE10" s="282">
        <v>47.530425913899997</v>
      </c>
      <c r="BF10" s="282">
        <v>31.385575687499998</v>
      </c>
      <c r="BG10" s="282">
        <v>15.165656437699999</v>
      </c>
      <c r="BH10" s="282">
        <v>7.1006931163000004</v>
      </c>
      <c r="BI10" s="282">
        <v>3.0452526747000004</v>
      </c>
      <c r="BJ10" s="283">
        <v>0</v>
      </c>
    </row>
    <row r="11" spans="1:62">
      <c r="A11" s="1383"/>
      <c r="B11" s="252" t="s">
        <v>119</v>
      </c>
      <c r="C11" s="255">
        <v>54</v>
      </c>
      <c r="D11" s="255">
        <v>72</v>
      </c>
      <c r="E11" s="255">
        <v>84</v>
      </c>
      <c r="F11" s="255">
        <v>76</v>
      </c>
      <c r="G11" s="255">
        <v>52</v>
      </c>
      <c r="H11" s="255">
        <v>52</v>
      </c>
      <c r="I11" s="255">
        <v>59</v>
      </c>
      <c r="J11" s="255">
        <v>102</v>
      </c>
      <c r="K11" s="255">
        <v>106</v>
      </c>
      <c r="L11" s="255">
        <v>80</v>
      </c>
      <c r="M11" s="255">
        <v>86</v>
      </c>
      <c r="N11" s="255">
        <v>44</v>
      </c>
      <c r="O11" s="255">
        <v>38</v>
      </c>
      <c r="P11" s="255">
        <v>35</v>
      </c>
      <c r="Q11" s="255">
        <v>27</v>
      </c>
      <c r="R11" s="255">
        <v>21</v>
      </c>
      <c r="S11" s="255">
        <v>13</v>
      </c>
      <c r="T11" s="255">
        <v>6</v>
      </c>
      <c r="U11" s="255">
        <v>3</v>
      </c>
      <c r="V11" s="262">
        <v>2</v>
      </c>
      <c r="W11" s="272">
        <v>66.386397000000002</v>
      </c>
      <c r="X11" s="255">
        <v>60.385760000000005</v>
      </c>
      <c r="Y11" s="255">
        <v>77.299363999999997</v>
      </c>
      <c r="Z11" s="255">
        <v>80.305831999999995</v>
      </c>
      <c r="AA11" s="255">
        <v>48.721448000000002</v>
      </c>
      <c r="AB11" s="255">
        <v>43.831402999999995</v>
      </c>
      <c r="AC11" s="255">
        <v>57.677894999999999</v>
      </c>
      <c r="AD11" s="255">
        <v>73.435531999999995</v>
      </c>
      <c r="AE11" s="255">
        <v>81.416565999999989</v>
      </c>
      <c r="AF11" s="255">
        <v>91.508223000000001</v>
      </c>
      <c r="AG11" s="255">
        <v>93.936786999999995</v>
      </c>
      <c r="AH11" s="255">
        <v>78.023094999999998</v>
      </c>
      <c r="AI11" s="255">
        <v>74.091970000000003</v>
      </c>
      <c r="AJ11" s="255">
        <v>38.11797</v>
      </c>
      <c r="AK11" s="255">
        <v>35.107517999999999</v>
      </c>
      <c r="AL11" s="255">
        <v>38.154229999999998</v>
      </c>
      <c r="AM11" s="255">
        <v>21.071573999999998</v>
      </c>
      <c r="AN11" s="255">
        <v>16.073996999999999</v>
      </c>
      <c r="AO11" s="255">
        <v>4.006786</v>
      </c>
      <c r="AP11" s="273">
        <v>0</v>
      </c>
      <c r="AQ11" s="284">
        <v>54.996615116400001</v>
      </c>
      <c r="AR11" s="285">
        <v>64.4112301782</v>
      </c>
      <c r="AS11" s="285">
        <v>67.402782848699999</v>
      </c>
      <c r="AT11" s="285">
        <v>61.9378236194</v>
      </c>
      <c r="AU11" s="285">
        <v>46.669977352800004</v>
      </c>
      <c r="AV11" s="285">
        <v>43.793640352299995</v>
      </c>
      <c r="AW11" s="285">
        <v>53.590892029700001</v>
      </c>
      <c r="AX11" s="285">
        <v>65.764246695799997</v>
      </c>
      <c r="AY11" s="285">
        <v>72.065032537099995</v>
      </c>
      <c r="AZ11" s="285">
        <v>67.234592458500003</v>
      </c>
      <c r="BA11" s="285">
        <v>93.099965174999994</v>
      </c>
      <c r="BB11" s="285">
        <v>87.703275801999993</v>
      </c>
      <c r="BC11" s="285">
        <v>73.714921308000001</v>
      </c>
      <c r="BD11" s="285">
        <v>70.7596681112</v>
      </c>
      <c r="BE11" s="285">
        <v>37.4923821804</v>
      </c>
      <c r="BF11" s="285">
        <v>34.4932743532</v>
      </c>
      <c r="BG11" s="285">
        <v>29.535548203099999</v>
      </c>
      <c r="BH11" s="285">
        <v>16.359273320300002</v>
      </c>
      <c r="BI11" s="285">
        <v>6.1212685811999998</v>
      </c>
      <c r="BJ11" s="286">
        <v>1.0253386355</v>
      </c>
    </row>
    <row r="12" spans="1:62" ht="14.4" thickBot="1">
      <c r="A12" s="1382" t="s">
        <v>10</v>
      </c>
      <c r="B12" s="250" t="s">
        <v>172</v>
      </c>
      <c r="C12" s="251">
        <v>106</v>
      </c>
      <c r="D12" s="251">
        <v>147</v>
      </c>
      <c r="E12" s="251">
        <v>166</v>
      </c>
      <c r="F12" s="251">
        <v>133</v>
      </c>
      <c r="G12" s="251">
        <v>81</v>
      </c>
      <c r="H12" s="251">
        <v>82</v>
      </c>
      <c r="I12" s="251">
        <v>102</v>
      </c>
      <c r="J12" s="251">
        <v>157</v>
      </c>
      <c r="K12" s="251">
        <v>127</v>
      </c>
      <c r="L12" s="251">
        <v>171</v>
      </c>
      <c r="M12" s="251">
        <v>154</v>
      </c>
      <c r="N12" s="251">
        <v>85</v>
      </c>
      <c r="O12" s="251">
        <v>71</v>
      </c>
      <c r="P12" s="251">
        <v>60</v>
      </c>
      <c r="Q12" s="251">
        <v>21</v>
      </c>
      <c r="R12" s="251">
        <v>17</v>
      </c>
      <c r="S12" s="251">
        <v>5</v>
      </c>
      <c r="T12" s="251">
        <v>7</v>
      </c>
      <c r="U12" s="251">
        <v>2</v>
      </c>
      <c r="V12" s="259">
        <v>0</v>
      </c>
      <c r="W12" s="266">
        <v>105.224283</v>
      </c>
      <c r="X12" s="251">
        <v>113.179176</v>
      </c>
      <c r="Y12" s="251">
        <v>142.00563500000001</v>
      </c>
      <c r="Z12" s="251">
        <v>172.89702600000001</v>
      </c>
      <c r="AA12" s="251">
        <v>93.250083000000004</v>
      </c>
      <c r="AB12" s="251">
        <v>70.418703999999991</v>
      </c>
      <c r="AC12" s="251">
        <v>85.280278999999993</v>
      </c>
      <c r="AD12" s="251">
        <v>122.41128900000001</v>
      </c>
      <c r="AE12" s="251">
        <v>184.80328600000001</v>
      </c>
      <c r="AF12" s="251">
        <v>167.089865</v>
      </c>
      <c r="AG12" s="251">
        <v>150.061849</v>
      </c>
      <c r="AH12" s="251">
        <v>199.73346599999999</v>
      </c>
      <c r="AI12" s="251">
        <v>116.88182499999999</v>
      </c>
      <c r="AJ12" s="251">
        <v>84.035004000000001</v>
      </c>
      <c r="AK12" s="251">
        <v>75.152794999999998</v>
      </c>
      <c r="AL12" s="251">
        <v>53.296124000000006</v>
      </c>
      <c r="AM12" s="251">
        <v>20.145395000000001</v>
      </c>
      <c r="AN12" s="251">
        <v>12.933074999999999</v>
      </c>
      <c r="AO12" s="251">
        <v>5.4658069999999999</v>
      </c>
      <c r="AP12" s="267">
        <v>1</v>
      </c>
      <c r="AQ12" s="266">
        <v>126.93213846800001</v>
      </c>
      <c r="AR12" s="251">
        <v>114.92235376000001</v>
      </c>
      <c r="AS12" s="251">
        <v>123.817731669</v>
      </c>
      <c r="AT12" s="251">
        <v>138.42657182400001</v>
      </c>
      <c r="AU12" s="251">
        <v>107.09569192299999</v>
      </c>
      <c r="AV12" s="251">
        <v>84.220336274000005</v>
      </c>
      <c r="AW12" s="251">
        <v>100.212403407</v>
      </c>
      <c r="AX12" s="251">
        <v>111.16942690899999</v>
      </c>
      <c r="AY12" s="251">
        <v>135.63692010100002</v>
      </c>
      <c r="AZ12" s="251">
        <v>176.186442658</v>
      </c>
      <c r="BA12" s="251">
        <v>156.484774939</v>
      </c>
      <c r="BB12" s="251">
        <v>141.112519427</v>
      </c>
      <c r="BC12" s="251">
        <v>180.53494712599999</v>
      </c>
      <c r="BD12" s="251">
        <v>101.48390452599999</v>
      </c>
      <c r="BE12" s="251">
        <v>74.934461037999995</v>
      </c>
      <c r="BF12" s="251">
        <v>64.212388478999998</v>
      </c>
      <c r="BG12" s="251">
        <v>40.2921145205</v>
      </c>
      <c r="BH12" s="251">
        <v>15.880498638400001</v>
      </c>
      <c r="BI12" s="251">
        <v>7.1715865416999991</v>
      </c>
      <c r="BJ12" s="267">
        <v>2</v>
      </c>
    </row>
    <row r="13" spans="1:62">
      <c r="A13" s="1383"/>
      <c r="B13" s="252" t="s">
        <v>171</v>
      </c>
      <c r="C13" s="253">
        <v>98</v>
      </c>
      <c r="D13" s="253">
        <v>124</v>
      </c>
      <c r="E13" s="253">
        <v>119</v>
      </c>
      <c r="F13" s="253">
        <v>123</v>
      </c>
      <c r="G13" s="253">
        <v>72</v>
      </c>
      <c r="H13" s="253">
        <v>76</v>
      </c>
      <c r="I13" s="253">
        <v>124</v>
      </c>
      <c r="J13" s="253">
        <v>151</v>
      </c>
      <c r="K13" s="253">
        <v>162</v>
      </c>
      <c r="L13" s="253">
        <v>169</v>
      </c>
      <c r="M13" s="253">
        <v>157</v>
      </c>
      <c r="N13" s="253">
        <v>80</v>
      </c>
      <c r="O13" s="253">
        <v>59</v>
      </c>
      <c r="P13" s="253">
        <v>44</v>
      </c>
      <c r="Q13" s="253">
        <v>27</v>
      </c>
      <c r="R13" s="253">
        <v>26</v>
      </c>
      <c r="S13" s="253">
        <v>11</v>
      </c>
      <c r="T13" s="253">
        <v>10</v>
      </c>
      <c r="U13" s="253">
        <v>3</v>
      </c>
      <c r="V13" s="260">
        <v>1</v>
      </c>
      <c r="W13" s="268">
        <v>104.228053</v>
      </c>
      <c r="X13" s="253">
        <v>102.41654699999999</v>
      </c>
      <c r="Y13" s="253">
        <v>160.84506200000001</v>
      </c>
      <c r="Z13" s="253">
        <v>136.77778899999998</v>
      </c>
      <c r="AA13" s="253">
        <v>81.179868999999997</v>
      </c>
      <c r="AB13" s="253">
        <v>48.402310999999997</v>
      </c>
      <c r="AC13" s="253">
        <v>101.55143799999999</v>
      </c>
      <c r="AD13" s="253">
        <v>146.377478</v>
      </c>
      <c r="AE13" s="253">
        <v>169.39451499999998</v>
      </c>
      <c r="AF13" s="253">
        <v>186.90617</v>
      </c>
      <c r="AG13" s="253">
        <v>166.74460799999997</v>
      </c>
      <c r="AH13" s="253">
        <v>187.463776</v>
      </c>
      <c r="AI13" s="253">
        <v>148.03585200000001</v>
      </c>
      <c r="AJ13" s="253">
        <v>79.700270000000017</v>
      </c>
      <c r="AK13" s="253">
        <v>63.20881</v>
      </c>
      <c r="AL13" s="253">
        <v>37.136978999999997</v>
      </c>
      <c r="AM13" s="253">
        <v>43.906649000000002</v>
      </c>
      <c r="AN13" s="253">
        <v>36.836316000000004</v>
      </c>
      <c r="AO13" s="253">
        <v>13.507619</v>
      </c>
      <c r="AP13" s="269">
        <v>8.1149179999999994</v>
      </c>
      <c r="AQ13" s="268">
        <v>95.675260309999999</v>
      </c>
      <c r="AR13" s="253">
        <v>116.751214269</v>
      </c>
      <c r="AS13" s="253">
        <v>113.90623677599999</v>
      </c>
      <c r="AT13" s="253">
        <v>140.95470773299999</v>
      </c>
      <c r="AU13" s="253">
        <v>72.117665891399994</v>
      </c>
      <c r="AV13" s="253">
        <v>90.684808145999995</v>
      </c>
      <c r="AW13" s="253">
        <v>93.199058042000019</v>
      </c>
      <c r="AX13" s="253">
        <v>118.823420093</v>
      </c>
      <c r="AY13" s="253">
        <v>153.068150844</v>
      </c>
      <c r="AZ13" s="253">
        <v>157.919212421</v>
      </c>
      <c r="BA13" s="253">
        <v>178.642362749</v>
      </c>
      <c r="BB13" s="253">
        <v>165.93435448900001</v>
      </c>
      <c r="BC13" s="253">
        <v>166.90668677900001</v>
      </c>
      <c r="BD13" s="253">
        <v>134.208342241</v>
      </c>
      <c r="BE13" s="253">
        <v>75.953499133799994</v>
      </c>
      <c r="BF13" s="253">
        <v>60.952080800899992</v>
      </c>
      <c r="BG13" s="253">
        <v>38.922284581500008</v>
      </c>
      <c r="BH13" s="253">
        <v>33.370525698900003</v>
      </c>
      <c r="BI13" s="253">
        <v>22.282916774499999</v>
      </c>
      <c r="BJ13" s="269">
        <v>12</v>
      </c>
    </row>
    <row r="14" spans="1:62" ht="14.4" thickBot="1">
      <c r="A14" s="1382" t="s">
        <v>11</v>
      </c>
      <c r="B14" s="250" t="s">
        <v>173</v>
      </c>
      <c r="C14" s="254">
        <v>64</v>
      </c>
      <c r="D14" s="254">
        <v>64</v>
      </c>
      <c r="E14" s="254">
        <v>46</v>
      </c>
      <c r="F14" s="254">
        <v>60</v>
      </c>
      <c r="G14" s="254">
        <v>28</v>
      </c>
      <c r="H14" s="254">
        <v>44</v>
      </c>
      <c r="I14" s="254">
        <v>70</v>
      </c>
      <c r="J14" s="254">
        <v>53</v>
      </c>
      <c r="K14" s="254">
        <v>52</v>
      </c>
      <c r="L14" s="254">
        <v>66</v>
      </c>
      <c r="M14" s="254">
        <v>45</v>
      </c>
      <c r="N14" s="254">
        <v>15</v>
      </c>
      <c r="O14" s="254">
        <v>25</v>
      </c>
      <c r="P14" s="254">
        <v>18</v>
      </c>
      <c r="Q14" s="254">
        <v>15</v>
      </c>
      <c r="R14" s="254">
        <v>13</v>
      </c>
      <c r="S14" s="254">
        <v>3</v>
      </c>
      <c r="T14" s="254">
        <v>3</v>
      </c>
      <c r="U14" s="254">
        <v>1</v>
      </c>
      <c r="V14" s="261">
        <v>0</v>
      </c>
      <c r="W14" s="270">
        <v>63.704467999999999</v>
      </c>
      <c r="X14" s="254">
        <v>52.923712000000009</v>
      </c>
      <c r="Y14" s="254">
        <v>57.824055000000001</v>
      </c>
      <c r="Z14" s="254">
        <v>57.824054999999994</v>
      </c>
      <c r="AA14" s="254">
        <v>30.38213</v>
      </c>
      <c r="AB14" s="254">
        <v>41.162888000000002</v>
      </c>
      <c r="AC14" s="254">
        <v>34.302406000000005</v>
      </c>
      <c r="AD14" s="254">
        <v>57.824055000000001</v>
      </c>
      <c r="AE14" s="254">
        <v>62.724397999999994</v>
      </c>
      <c r="AF14" s="254">
        <v>65.664605000000009</v>
      </c>
      <c r="AG14" s="254">
        <v>57.824055000000001</v>
      </c>
      <c r="AH14" s="254">
        <v>55.863917999999998</v>
      </c>
      <c r="AI14" s="254">
        <v>44.103093000000001</v>
      </c>
      <c r="AJ14" s="254">
        <v>20.581444000000001</v>
      </c>
      <c r="AK14" s="254">
        <v>16.661169000000001</v>
      </c>
      <c r="AL14" s="254">
        <v>3.9202749999999997</v>
      </c>
      <c r="AM14" s="254">
        <v>4.9003429999999994</v>
      </c>
      <c r="AN14" s="254">
        <v>3.9202749999999997</v>
      </c>
      <c r="AO14" s="254">
        <v>0.98006899999999997</v>
      </c>
      <c r="AP14" s="271">
        <v>0</v>
      </c>
      <c r="AQ14" s="281">
        <v>61.368288060799998</v>
      </c>
      <c r="AR14" s="282">
        <v>75.979785217400007</v>
      </c>
      <c r="AS14" s="282">
        <v>58.445988629399999</v>
      </c>
      <c r="AT14" s="282">
        <v>47.730890713699999</v>
      </c>
      <c r="AU14" s="282">
        <v>35.067593177500001</v>
      </c>
      <c r="AV14" s="282">
        <v>40.912192040299999</v>
      </c>
      <c r="AW14" s="282">
        <v>47.730890713200004</v>
      </c>
      <c r="AX14" s="282">
        <v>53.575489576800003</v>
      </c>
      <c r="AY14" s="282">
        <v>62.342387871400007</v>
      </c>
      <c r="AZ14" s="282">
        <v>60.394188250399992</v>
      </c>
      <c r="BA14" s="282">
        <v>59.420088439399997</v>
      </c>
      <c r="BB14" s="282">
        <v>59.420088438800008</v>
      </c>
      <c r="BC14" s="282">
        <v>54.549589386799994</v>
      </c>
      <c r="BD14" s="282">
        <v>38.963992419500002</v>
      </c>
      <c r="BE14" s="282">
        <v>17.533796588800001</v>
      </c>
      <c r="BF14" s="282">
        <v>11.689197726</v>
      </c>
      <c r="BG14" s="282">
        <v>2.9222994314999999</v>
      </c>
      <c r="BH14" s="282">
        <v>1.9481996210000001</v>
      </c>
      <c r="BI14" s="282">
        <v>0.97409981050000005</v>
      </c>
      <c r="BJ14" s="283">
        <v>0</v>
      </c>
    </row>
    <row r="15" spans="1:62">
      <c r="A15" s="1383"/>
      <c r="B15" s="252" t="s">
        <v>174</v>
      </c>
      <c r="C15" s="255">
        <v>57</v>
      </c>
      <c r="D15" s="255">
        <v>48</v>
      </c>
      <c r="E15" s="255">
        <v>40</v>
      </c>
      <c r="F15" s="255">
        <v>42</v>
      </c>
      <c r="G15" s="255">
        <v>26</v>
      </c>
      <c r="H15" s="255">
        <v>49</v>
      </c>
      <c r="I15" s="255">
        <v>61</v>
      </c>
      <c r="J15" s="255">
        <v>62</v>
      </c>
      <c r="K15" s="255">
        <v>63</v>
      </c>
      <c r="L15" s="255">
        <v>51</v>
      </c>
      <c r="M15" s="255">
        <v>37</v>
      </c>
      <c r="N15" s="255">
        <v>18</v>
      </c>
      <c r="O15" s="255">
        <v>18</v>
      </c>
      <c r="P15" s="255">
        <v>16</v>
      </c>
      <c r="Q15" s="255">
        <v>20</v>
      </c>
      <c r="R15" s="255">
        <v>9</v>
      </c>
      <c r="S15" s="255">
        <v>11</v>
      </c>
      <c r="T15" s="255">
        <v>7</v>
      </c>
      <c r="U15" s="255">
        <v>1</v>
      </c>
      <c r="V15" s="262">
        <v>2</v>
      </c>
      <c r="W15" s="272">
        <v>41.162886999999998</v>
      </c>
      <c r="X15" s="255">
        <v>39.202748999999997</v>
      </c>
      <c r="Y15" s="255">
        <v>67.624741</v>
      </c>
      <c r="Z15" s="255">
        <v>29.402061</v>
      </c>
      <c r="AA15" s="255">
        <v>39.202749000000004</v>
      </c>
      <c r="AB15" s="255">
        <v>37.242612000000001</v>
      </c>
      <c r="AC15" s="255">
        <v>36.262543000000001</v>
      </c>
      <c r="AD15" s="255">
        <v>60.764260999999998</v>
      </c>
      <c r="AE15" s="255">
        <v>55.863917999999998</v>
      </c>
      <c r="AF15" s="255">
        <v>64.684536000000008</v>
      </c>
      <c r="AG15" s="255">
        <v>60.764261000000005</v>
      </c>
      <c r="AH15" s="255">
        <v>57.824055000000001</v>
      </c>
      <c r="AI15" s="255">
        <v>38.222681000000009</v>
      </c>
      <c r="AJ15" s="255">
        <v>19.601374</v>
      </c>
      <c r="AK15" s="255">
        <v>15.681099</v>
      </c>
      <c r="AL15" s="255">
        <v>9.8006879999999992</v>
      </c>
      <c r="AM15" s="255">
        <v>10.780754999999999</v>
      </c>
      <c r="AN15" s="255">
        <v>4.9003439999999996</v>
      </c>
      <c r="AO15" s="255">
        <v>2.9402059999999999</v>
      </c>
      <c r="AP15" s="273">
        <v>0.98006899999999997</v>
      </c>
      <c r="AQ15" s="284">
        <v>74.031585596900001</v>
      </c>
      <c r="AR15" s="285">
        <v>48.704990524199999</v>
      </c>
      <c r="AS15" s="285">
        <v>47.730890713699999</v>
      </c>
      <c r="AT15" s="285">
        <v>56.497789007400002</v>
      </c>
      <c r="AU15" s="285">
        <v>22.404295641099999</v>
      </c>
      <c r="AV15" s="285">
        <v>37.989892608600002</v>
      </c>
      <c r="AW15" s="285">
        <v>55.523689197799996</v>
      </c>
      <c r="AX15" s="285">
        <v>51.627289954899993</v>
      </c>
      <c r="AY15" s="285">
        <v>65.264687302300004</v>
      </c>
      <c r="AZ15" s="285">
        <v>45.782691092699999</v>
      </c>
      <c r="BA15" s="285">
        <v>52.601389765299999</v>
      </c>
      <c r="BB15" s="285">
        <v>54.549589387300003</v>
      </c>
      <c r="BC15" s="285">
        <v>56.497789008200002</v>
      </c>
      <c r="BD15" s="285">
        <v>30.197094125100001</v>
      </c>
      <c r="BE15" s="285">
        <v>19.481996209800002</v>
      </c>
      <c r="BF15" s="285">
        <v>11.689197725900002</v>
      </c>
      <c r="BG15" s="285">
        <v>6.8186986735000001</v>
      </c>
      <c r="BH15" s="285">
        <v>8.7668982945000007</v>
      </c>
      <c r="BI15" s="285">
        <v>3.8963992420000002</v>
      </c>
      <c r="BJ15" s="286">
        <v>0.97409981050000005</v>
      </c>
    </row>
    <row r="16" spans="1:62" ht="14.4" thickBot="1">
      <c r="A16" s="1382" t="s">
        <v>12</v>
      </c>
      <c r="B16" s="250" t="s">
        <v>175</v>
      </c>
      <c r="C16" s="251">
        <v>34</v>
      </c>
      <c r="D16" s="251">
        <v>37</v>
      </c>
      <c r="E16" s="251">
        <v>46</v>
      </c>
      <c r="F16" s="251">
        <v>26</v>
      </c>
      <c r="G16" s="251">
        <v>18</v>
      </c>
      <c r="H16" s="251">
        <v>31</v>
      </c>
      <c r="I16" s="251">
        <v>33</v>
      </c>
      <c r="J16" s="251">
        <v>47</v>
      </c>
      <c r="K16" s="251">
        <v>48</v>
      </c>
      <c r="L16" s="251">
        <v>39</v>
      </c>
      <c r="M16" s="251">
        <v>31</v>
      </c>
      <c r="N16" s="251">
        <v>24</v>
      </c>
      <c r="O16" s="251">
        <v>24</v>
      </c>
      <c r="P16" s="251">
        <v>15</v>
      </c>
      <c r="Q16" s="251">
        <v>11</v>
      </c>
      <c r="R16" s="251">
        <v>10</v>
      </c>
      <c r="S16" s="251">
        <v>5</v>
      </c>
      <c r="T16" s="251">
        <v>6</v>
      </c>
      <c r="U16" s="251">
        <v>0</v>
      </c>
      <c r="V16" s="259">
        <v>0</v>
      </c>
      <c r="W16" s="266">
        <v>24.902174999999996</v>
      </c>
      <c r="X16" s="251">
        <v>29.886428000000002</v>
      </c>
      <c r="Y16" s="251">
        <v>44.823915999999997</v>
      </c>
      <c r="Z16" s="251">
        <v>41.835653999999998</v>
      </c>
      <c r="AA16" s="251">
        <v>26.894349000000002</v>
      </c>
      <c r="AB16" s="251">
        <v>22.910001000000001</v>
      </c>
      <c r="AC16" s="251">
        <v>13.945218000000001</v>
      </c>
      <c r="AD16" s="251">
        <v>38.851210999999999</v>
      </c>
      <c r="AE16" s="251">
        <v>45.820003</v>
      </c>
      <c r="AF16" s="251">
        <v>47.815994000000003</v>
      </c>
      <c r="AG16" s="251">
        <v>48.808263999999994</v>
      </c>
      <c r="AH16" s="251">
        <v>46.816089999999996</v>
      </c>
      <c r="AI16" s="251">
        <v>34.863045</v>
      </c>
      <c r="AJ16" s="251">
        <v>20.917826999999999</v>
      </c>
      <c r="AK16" s="251">
        <v>12.949131</v>
      </c>
      <c r="AL16" s="251">
        <v>11.953043999999998</v>
      </c>
      <c r="AM16" s="251">
        <v>8.9647829999999988</v>
      </c>
      <c r="AN16" s="251">
        <v>3.9843479999999998</v>
      </c>
      <c r="AO16" s="251">
        <v>0.99608699999999994</v>
      </c>
      <c r="AP16" s="267">
        <v>0</v>
      </c>
      <c r="AQ16" s="266">
        <v>25.928641650700001</v>
      </c>
      <c r="AR16" s="251">
        <v>29.914366727600001</v>
      </c>
      <c r="AS16" s="251">
        <v>33.9029489578</v>
      </c>
      <c r="AT16" s="251">
        <v>43.880118840599998</v>
      </c>
      <c r="AU16" s="251">
        <v>21.9372022668</v>
      </c>
      <c r="AV16" s="251">
        <v>19.942911151800001</v>
      </c>
      <c r="AW16" s="251">
        <v>40.882967860599997</v>
      </c>
      <c r="AX16" s="251">
        <v>21.9372022668</v>
      </c>
      <c r="AY16" s="251">
        <v>43.874404533800003</v>
      </c>
      <c r="AZ16" s="251">
        <v>45.868695648900001</v>
      </c>
      <c r="BA16" s="251">
        <v>43.874404533300002</v>
      </c>
      <c r="BB16" s="251">
        <v>35.897240072600006</v>
      </c>
      <c r="BC16" s="251">
        <v>39.88582230290001</v>
      </c>
      <c r="BD16" s="251">
        <v>37.891531188100004</v>
      </c>
      <c r="BE16" s="251">
        <v>19.942911151699999</v>
      </c>
      <c r="BF16" s="251">
        <v>10.968601133499998</v>
      </c>
      <c r="BG16" s="251">
        <v>5.9828733455999998</v>
      </c>
      <c r="BH16" s="251">
        <v>4.9857277880000002</v>
      </c>
      <c r="BI16" s="251">
        <v>0</v>
      </c>
      <c r="BJ16" s="267">
        <v>0</v>
      </c>
    </row>
    <row r="17" spans="1:62">
      <c r="A17" s="1383"/>
      <c r="B17" s="252" t="s">
        <v>176</v>
      </c>
      <c r="C17" s="253">
        <v>24</v>
      </c>
      <c r="D17" s="253">
        <v>35</v>
      </c>
      <c r="E17" s="253">
        <v>35</v>
      </c>
      <c r="F17" s="253">
        <v>32</v>
      </c>
      <c r="G17" s="253">
        <v>19</v>
      </c>
      <c r="H17" s="253">
        <v>26</v>
      </c>
      <c r="I17" s="253">
        <v>37</v>
      </c>
      <c r="J17" s="253">
        <v>42</v>
      </c>
      <c r="K17" s="253">
        <v>33</v>
      </c>
      <c r="L17" s="253">
        <v>38</v>
      </c>
      <c r="M17" s="253">
        <v>33</v>
      </c>
      <c r="N17" s="253">
        <v>17</v>
      </c>
      <c r="O17" s="253">
        <v>20</v>
      </c>
      <c r="P17" s="253">
        <v>21</v>
      </c>
      <c r="Q17" s="253">
        <v>19</v>
      </c>
      <c r="R17" s="253">
        <v>14</v>
      </c>
      <c r="S17" s="253">
        <v>5</v>
      </c>
      <c r="T17" s="253">
        <v>1</v>
      </c>
      <c r="U17" s="253">
        <v>3</v>
      </c>
      <c r="V17" s="260">
        <v>1</v>
      </c>
      <c r="W17" s="268">
        <v>26.901985000000003</v>
      </c>
      <c r="X17" s="253">
        <v>28.890340999999999</v>
      </c>
      <c r="Y17" s="253">
        <v>46.823726000000001</v>
      </c>
      <c r="Z17" s="253">
        <v>27.890436000000001</v>
      </c>
      <c r="AA17" s="253">
        <v>15.937391999999999</v>
      </c>
      <c r="AB17" s="253">
        <v>13.945218000000001</v>
      </c>
      <c r="AC17" s="253">
        <v>23.909905999999999</v>
      </c>
      <c r="AD17" s="253">
        <v>39.847298000000002</v>
      </c>
      <c r="AE17" s="253">
        <v>51.796526</v>
      </c>
      <c r="AF17" s="253">
        <v>41.835655000000003</v>
      </c>
      <c r="AG17" s="253">
        <v>46.816089999999996</v>
      </c>
      <c r="AH17" s="253">
        <v>31.874783999999998</v>
      </c>
      <c r="AI17" s="253">
        <v>33.866958000000004</v>
      </c>
      <c r="AJ17" s="253">
        <v>19.92174</v>
      </c>
      <c r="AK17" s="253">
        <v>12.949131</v>
      </c>
      <c r="AL17" s="253">
        <v>15.937391999999999</v>
      </c>
      <c r="AM17" s="253">
        <v>10.956956999999999</v>
      </c>
      <c r="AN17" s="253">
        <v>7.9686959999999996</v>
      </c>
      <c r="AO17" s="253">
        <v>0.99608699999999994</v>
      </c>
      <c r="AP17" s="269">
        <v>0.99608699999999994</v>
      </c>
      <c r="AQ17" s="268">
        <v>30.911512285199997</v>
      </c>
      <c r="AR17" s="253">
        <v>27.9200756123</v>
      </c>
      <c r="AS17" s="253">
        <v>32.905803399899995</v>
      </c>
      <c r="AT17" s="253">
        <v>41.885827725799999</v>
      </c>
      <c r="AU17" s="253">
        <v>19.942911151699999</v>
      </c>
      <c r="AV17" s="253">
        <v>22.937204978099999</v>
      </c>
      <c r="AW17" s="253">
        <v>25.928641650799999</v>
      </c>
      <c r="AX17" s="253">
        <v>29.914366727500003</v>
      </c>
      <c r="AY17" s="253">
        <v>41.880113418500002</v>
      </c>
      <c r="AZ17" s="253">
        <v>47.862986764799999</v>
      </c>
      <c r="BA17" s="253">
        <v>43.874404534199996</v>
      </c>
      <c r="BB17" s="253">
        <v>41.880113418000001</v>
      </c>
      <c r="BC17" s="253">
        <v>35.897240072999999</v>
      </c>
      <c r="BD17" s="253">
        <v>30.911512285000001</v>
      </c>
      <c r="BE17" s="253">
        <v>18.945765594200001</v>
      </c>
      <c r="BF17" s="253">
        <v>10.9686011335</v>
      </c>
      <c r="BG17" s="253">
        <v>13.960037806300001</v>
      </c>
      <c r="BH17" s="253">
        <v>3.9885822304</v>
      </c>
      <c r="BI17" s="253">
        <v>4.9857277880000002</v>
      </c>
      <c r="BJ17" s="269">
        <v>0</v>
      </c>
    </row>
    <row r="18" spans="1:62" ht="14.4" thickBot="1">
      <c r="A18" s="1382" t="s">
        <v>13</v>
      </c>
      <c r="B18" s="250" t="s">
        <v>177</v>
      </c>
      <c r="C18" s="254">
        <v>220</v>
      </c>
      <c r="D18" s="254">
        <v>260</v>
      </c>
      <c r="E18" s="254">
        <v>333</v>
      </c>
      <c r="F18" s="254">
        <v>305</v>
      </c>
      <c r="G18" s="254">
        <v>176</v>
      </c>
      <c r="H18" s="254">
        <v>155</v>
      </c>
      <c r="I18" s="254">
        <v>209</v>
      </c>
      <c r="J18" s="254">
        <v>270</v>
      </c>
      <c r="K18" s="254">
        <v>299</v>
      </c>
      <c r="L18" s="254">
        <v>297</v>
      </c>
      <c r="M18" s="254">
        <v>229</v>
      </c>
      <c r="N18" s="254">
        <v>200</v>
      </c>
      <c r="O18" s="254">
        <v>175</v>
      </c>
      <c r="P18" s="254">
        <v>133</v>
      </c>
      <c r="Q18" s="254">
        <v>90</v>
      </c>
      <c r="R18" s="254">
        <v>78</v>
      </c>
      <c r="S18" s="254">
        <v>22</v>
      </c>
      <c r="T18" s="254">
        <v>33</v>
      </c>
      <c r="U18" s="254">
        <v>8</v>
      </c>
      <c r="V18" s="261">
        <v>2</v>
      </c>
      <c r="W18" s="270">
        <v>204.98067700000001</v>
      </c>
      <c r="X18" s="254">
        <v>226.17581899999996</v>
      </c>
      <c r="Y18" s="254">
        <v>274.65391399999999</v>
      </c>
      <c r="Z18" s="254">
        <v>250.35342499999999</v>
      </c>
      <c r="AA18" s="254">
        <v>176.34488100000002</v>
      </c>
      <c r="AB18" s="254">
        <v>185.45220399999999</v>
      </c>
      <c r="AC18" s="254">
        <v>186.84162900000001</v>
      </c>
      <c r="AD18" s="254">
        <v>202.284739</v>
      </c>
      <c r="AE18" s="254">
        <v>292.20920599999999</v>
      </c>
      <c r="AF18" s="254">
        <v>291.01487099999997</v>
      </c>
      <c r="AG18" s="254">
        <v>306.37262800000002</v>
      </c>
      <c r="AH18" s="254">
        <v>328.824592</v>
      </c>
      <c r="AI18" s="254">
        <v>280.36280999999997</v>
      </c>
      <c r="AJ18" s="254">
        <v>223.45459100000002</v>
      </c>
      <c r="AK18" s="254">
        <v>182.35284300000001</v>
      </c>
      <c r="AL18" s="254">
        <v>154.95682500000001</v>
      </c>
      <c r="AM18" s="254">
        <v>85.651968000000011</v>
      </c>
      <c r="AN18" s="254">
        <v>45.265683999999993</v>
      </c>
      <c r="AO18" s="254">
        <v>19.203226999999998</v>
      </c>
      <c r="AP18" s="271">
        <v>4.8575600000000003</v>
      </c>
      <c r="AQ18" s="281">
        <v>183.24524876499999</v>
      </c>
      <c r="AR18" s="282">
        <v>222.86584309400001</v>
      </c>
      <c r="AS18" s="282">
        <v>240.69511054100002</v>
      </c>
      <c r="AT18" s="282">
        <v>244.657169974</v>
      </c>
      <c r="AU18" s="282">
        <v>152.64035735500002</v>
      </c>
      <c r="AV18" s="282">
        <v>149.36689236199999</v>
      </c>
      <c r="AW18" s="282">
        <v>187.17383299400001</v>
      </c>
      <c r="AX18" s="282">
        <v>189.325333422</v>
      </c>
      <c r="AY18" s="282">
        <v>225.90743276800001</v>
      </c>
      <c r="AZ18" s="282">
        <v>285.64579047699999</v>
      </c>
      <c r="BA18" s="282">
        <v>263.58047258299996</v>
      </c>
      <c r="BB18" s="282">
        <v>320.41733081699994</v>
      </c>
      <c r="BC18" s="282">
        <v>297.05596074300001</v>
      </c>
      <c r="BD18" s="282">
        <v>255.795278123</v>
      </c>
      <c r="BE18" s="282">
        <v>210.72829267</v>
      </c>
      <c r="BF18" s="282">
        <v>156.359888377</v>
      </c>
      <c r="BG18" s="282">
        <v>108.86934038</v>
      </c>
      <c r="BH18" s="282">
        <v>49.908064314699999</v>
      </c>
      <c r="BI18" s="282">
        <v>25.116527742800002</v>
      </c>
      <c r="BJ18" s="283">
        <v>11.994508688700002</v>
      </c>
    </row>
    <row r="19" spans="1:62">
      <c r="A19" s="1383"/>
      <c r="B19" s="252" t="s">
        <v>111</v>
      </c>
      <c r="C19" s="255">
        <v>196</v>
      </c>
      <c r="D19" s="255">
        <v>258</v>
      </c>
      <c r="E19" s="255">
        <v>267</v>
      </c>
      <c r="F19" s="255">
        <v>252</v>
      </c>
      <c r="G19" s="255">
        <v>138</v>
      </c>
      <c r="H19" s="255">
        <v>190</v>
      </c>
      <c r="I19" s="255">
        <v>260</v>
      </c>
      <c r="J19" s="255">
        <v>287</v>
      </c>
      <c r="K19" s="255">
        <v>337</v>
      </c>
      <c r="L19" s="255">
        <v>263</v>
      </c>
      <c r="M19" s="255">
        <v>267</v>
      </c>
      <c r="N19" s="255">
        <v>183</v>
      </c>
      <c r="O19" s="255">
        <v>177</v>
      </c>
      <c r="P19" s="255">
        <v>132</v>
      </c>
      <c r="Q19" s="255">
        <v>102</v>
      </c>
      <c r="R19" s="255">
        <v>87</v>
      </c>
      <c r="S19" s="255">
        <v>40</v>
      </c>
      <c r="T19" s="255">
        <v>67</v>
      </c>
      <c r="U19" s="255">
        <v>42</v>
      </c>
      <c r="V19" s="262">
        <v>15</v>
      </c>
      <c r="W19" s="272">
        <v>197.88311300000001</v>
      </c>
      <c r="X19" s="255">
        <v>238.28314899999998</v>
      </c>
      <c r="Y19" s="255">
        <v>264.55634300000003</v>
      </c>
      <c r="Z19" s="255">
        <v>223.15630400000001</v>
      </c>
      <c r="AA19" s="255">
        <v>180.06032999999999</v>
      </c>
      <c r="AB19" s="255">
        <v>186.75627600000001</v>
      </c>
      <c r="AC19" s="255">
        <v>177.71723699999998</v>
      </c>
      <c r="AD19" s="255">
        <v>253.449016</v>
      </c>
      <c r="AE19" s="255">
        <v>322.50191599999999</v>
      </c>
      <c r="AF19" s="255">
        <v>320.13931300000002</v>
      </c>
      <c r="AG19" s="255">
        <v>347.99382200000002</v>
      </c>
      <c r="AH19" s="255">
        <v>313.80352600000003</v>
      </c>
      <c r="AI19" s="255">
        <v>293.89538600000003</v>
      </c>
      <c r="AJ19" s="255">
        <v>245.53922499999999</v>
      </c>
      <c r="AK19" s="255">
        <v>188.878096</v>
      </c>
      <c r="AL19" s="255">
        <v>157.42264900000001</v>
      </c>
      <c r="AM19" s="255">
        <v>121.58508499999999</v>
      </c>
      <c r="AN19" s="255">
        <v>75.002567000000013</v>
      </c>
      <c r="AO19" s="255">
        <v>55.207819999999998</v>
      </c>
      <c r="AP19" s="273">
        <v>20.554731999999998</v>
      </c>
      <c r="AQ19" s="284">
        <v>158.48237731099999</v>
      </c>
      <c r="AR19" s="285">
        <v>220.88481337799999</v>
      </c>
      <c r="AS19" s="285">
        <v>257.533863129</v>
      </c>
      <c r="AT19" s="285">
        <v>254.69686295400001</v>
      </c>
      <c r="AU19" s="285">
        <v>129.757446423</v>
      </c>
      <c r="AV19" s="285">
        <v>144.44779327499998</v>
      </c>
      <c r="AW19" s="285">
        <v>196.06452932899998</v>
      </c>
      <c r="AX19" s="285">
        <v>222.01232374199998</v>
      </c>
      <c r="AY19" s="285">
        <v>269.42004143000003</v>
      </c>
      <c r="AZ19" s="285">
        <v>328.92097801900002</v>
      </c>
      <c r="BA19" s="285">
        <v>302.143601644</v>
      </c>
      <c r="BB19" s="285">
        <v>319.01582943800003</v>
      </c>
      <c r="BC19" s="285">
        <v>301.35703270099998</v>
      </c>
      <c r="BD19" s="285">
        <v>271.67506216000004</v>
      </c>
      <c r="BE19" s="285">
        <v>240.33382550599998</v>
      </c>
      <c r="BF19" s="285">
        <v>187.97353352799999</v>
      </c>
      <c r="BG19" s="285">
        <v>137.29003261700001</v>
      </c>
      <c r="BH19" s="285">
        <v>104.07451411599999</v>
      </c>
      <c r="BI19" s="285">
        <v>49.185210393200002</v>
      </c>
      <c r="BJ19" s="286">
        <v>34.381652715800001</v>
      </c>
    </row>
    <row r="20" spans="1:62" ht="14.4" thickBot="1">
      <c r="A20" s="1382" t="s">
        <v>14</v>
      </c>
      <c r="B20" s="250" t="s">
        <v>112</v>
      </c>
      <c r="C20" s="251">
        <v>18</v>
      </c>
      <c r="D20" s="251">
        <v>32</v>
      </c>
      <c r="E20" s="251">
        <v>34</v>
      </c>
      <c r="F20" s="251">
        <v>30</v>
      </c>
      <c r="G20" s="251">
        <v>18</v>
      </c>
      <c r="H20" s="251">
        <v>16</v>
      </c>
      <c r="I20" s="251">
        <v>22</v>
      </c>
      <c r="J20" s="251">
        <v>36</v>
      </c>
      <c r="K20" s="251">
        <v>38</v>
      </c>
      <c r="L20" s="251">
        <v>29</v>
      </c>
      <c r="M20" s="251">
        <v>19</v>
      </c>
      <c r="N20" s="251">
        <v>7</v>
      </c>
      <c r="O20" s="251">
        <v>11</v>
      </c>
      <c r="P20" s="251">
        <v>9</v>
      </c>
      <c r="Q20" s="251">
        <v>11</v>
      </c>
      <c r="R20" s="251">
        <v>4</v>
      </c>
      <c r="S20" s="251">
        <v>6</v>
      </c>
      <c r="T20" s="251">
        <v>3</v>
      </c>
      <c r="U20" s="251">
        <v>0</v>
      </c>
      <c r="V20" s="259">
        <v>0</v>
      </c>
      <c r="W20" s="266">
        <v>24.097429000000002</v>
      </c>
      <c r="X20" s="251">
        <v>35.142084000000004</v>
      </c>
      <c r="Y20" s="251">
        <v>26.105547000000001</v>
      </c>
      <c r="Z20" s="251">
        <v>28.113667000000003</v>
      </c>
      <c r="AA20" s="251">
        <v>13.052775</v>
      </c>
      <c r="AB20" s="251">
        <v>15.060894000000001</v>
      </c>
      <c r="AC20" s="251">
        <v>21.085250000000002</v>
      </c>
      <c r="AD20" s="251">
        <v>30.121786</v>
      </c>
      <c r="AE20" s="251">
        <v>24.097429000000002</v>
      </c>
      <c r="AF20" s="251">
        <v>39.158321000000001</v>
      </c>
      <c r="AG20" s="251">
        <v>37.150202999999998</v>
      </c>
      <c r="AH20" s="251">
        <v>22.089310000000001</v>
      </c>
      <c r="AI20" s="251">
        <v>25.101487999999996</v>
      </c>
      <c r="AJ20" s="251">
        <v>9.0365369999999992</v>
      </c>
      <c r="AK20" s="251">
        <v>9.0365370000000009</v>
      </c>
      <c r="AL20" s="251">
        <v>7.0284180000000003</v>
      </c>
      <c r="AM20" s="251">
        <v>6.0243570000000002</v>
      </c>
      <c r="AN20" s="251">
        <v>5.0202989999999996</v>
      </c>
      <c r="AO20" s="251">
        <v>1.00406</v>
      </c>
      <c r="AP20" s="267">
        <v>0</v>
      </c>
      <c r="AQ20" s="266">
        <v>14.316384180899998</v>
      </c>
      <c r="AR20" s="251">
        <v>22.497175141299998</v>
      </c>
      <c r="AS20" s="251">
        <v>31.700564972199999</v>
      </c>
      <c r="AT20" s="251">
        <v>27.610169491500002</v>
      </c>
      <c r="AU20" s="251">
        <v>15.338983050899998</v>
      </c>
      <c r="AV20" s="251">
        <v>19.429378530999998</v>
      </c>
      <c r="AW20" s="251">
        <v>14.316384180899998</v>
      </c>
      <c r="AX20" s="251">
        <v>20.451977401099999</v>
      </c>
      <c r="AY20" s="251">
        <v>30.677966101700001</v>
      </c>
      <c r="AZ20" s="251">
        <v>21.474576271099998</v>
      </c>
      <c r="BA20" s="251">
        <v>35.790960452299998</v>
      </c>
      <c r="BB20" s="251">
        <v>38.858757062499997</v>
      </c>
      <c r="BC20" s="251">
        <v>20.451977401099995</v>
      </c>
      <c r="BD20" s="251">
        <v>22.4971751412</v>
      </c>
      <c r="BE20" s="251">
        <v>8.1807909605999978</v>
      </c>
      <c r="BF20" s="251">
        <v>10.225988700699999</v>
      </c>
      <c r="BG20" s="251">
        <v>8.1807909604999995</v>
      </c>
      <c r="BH20" s="251">
        <v>2.0451977401999999</v>
      </c>
      <c r="BI20" s="251">
        <v>3.0677966102999998</v>
      </c>
      <c r="BJ20" s="267">
        <v>0</v>
      </c>
    </row>
    <row r="21" spans="1:62">
      <c r="A21" s="1383"/>
      <c r="B21" s="252" t="s">
        <v>113</v>
      </c>
      <c r="C21" s="253">
        <v>22</v>
      </c>
      <c r="D21" s="253">
        <v>35</v>
      </c>
      <c r="E21" s="253">
        <v>41</v>
      </c>
      <c r="F21" s="253">
        <v>19</v>
      </c>
      <c r="G21" s="253">
        <v>11</v>
      </c>
      <c r="H21" s="253">
        <v>15</v>
      </c>
      <c r="I21" s="253">
        <v>23</v>
      </c>
      <c r="J21" s="253">
        <v>41</v>
      </c>
      <c r="K21" s="253">
        <v>35</v>
      </c>
      <c r="L21" s="253">
        <v>25</v>
      </c>
      <c r="M21" s="253">
        <v>14</v>
      </c>
      <c r="N21" s="253">
        <v>7</v>
      </c>
      <c r="O21" s="253">
        <v>13</v>
      </c>
      <c r="P21" s="253">
        <v>5</v>
      </c>
      <c r="Q21" s="253">
        <v>9</v>
      </c>
      <c r="R21" s="253">
        <v>9</v>
      </c>
      <c r="S21" s="253">
        <v>4</v>
      </c>
      <c r="T21" s="253">
        <v>3</v>
      </c>
      <c r="U21" s="253">
        <v>1</v>
      </c>
      <c r="V21" s="260">
        <v>0</v>
      </c>
      <c r="W21" s="268">
        <v>17.069013000000002</v>
      </c>
      <c r="X21" s="253">
        <v>34.138024000000001</v>
      </c>
      <c r="Y21" s="253">
        <v>25.101488000000003</v>
      </c>
      <c r="Z21" s="253">
        <v>30.121787000000005</v>
      </c>
      <c r="AA21" s="253">
        <v>14.056834000000002</v>
      </c>
      <c r="AB21" s="253">
        <v>22.089310000000005</v>
      </c>
      <c r="AC21" s="253">
        <v>26.105548000000006</v>
      </c>
      <c r="AD21" s="253">
        <v>22.089310000000001</v>
      </c>
      <c r="AE21" s="253">
        <v>28.113667</v>
      </c>
      <c r="AF21" s="253">
        <v>35.142083000000007</v>
      </c>
      <c r="AG21" s="253">
        <v>32.129905000000008</v>
      </c>
      <c r="AH21" s="253">
        <v>25.101489000000001</v>
      </c>
      <c r="AI21" s="253">
        <v>18.073070999999999</v>
      </c>
      <c r="AJ21" s="253">
        <v>9.0365360000000017</v>
      </c>
      <c r="AK21" s="253">
        <v>5.0202980000000004</v>
      </c>
      <c r="AL21" s="253">
        <v>10.040596000000001</v>
      </c>
      <c r="AM21" s="253">
        <v>6.0243590000000005</v>
      </c>
      <c r="AN21" s="253">
        <v>3.0121799999999999</v>
      </c>
      <c r="AO21" s="253">
        <v>2.0081199999999999</v>
      </c>
      <c r="AP21" s="269">
        <v>0</v>
      </c>
      <c r="AQ21" s="268">
        <v>16.361581920799999</v>
      </c>
      <c r="AR21" s="253">
        <v>23.519774011300001</v>
      </c>
      <c r="AS21" s="253">
        <v>35.790960452099995</v>
      </c>
      <c r="AT21" s="253">
        <v>19.429378531099999</v>
      </c>
      <c r="AU21" s="253">
        <v>19.429378531099999</v>
      </c>
      <c r="AV21" s="253">
        <v>15.338983050899998</v>
      </c>
      <c r="AW21" s="253">
        <v>20.451977401200001</v>
      </c>
      <c r="AX21" s="253">
        <v>23.519774011300001</v>
      </c>
      <c r="AY21" s="253">
        <v>24.542372881399999</v>
      </c>
      <c r="AZ21" s="253">
        <v>25.5649717513</v>
      </c>
      <c r="BA21" s="253">
        <v>32.723163841799995</v>
      </c>
      <c r="BB21" s="253">
        <v>33.745762712299999</v>
      </c>
      <c r="BC21" s="253">
        <v>23.519774011300001</v>
      </c>
      <c r="BD21" s="253">
        <v>16.361581920900001</v>
      </c>
      <c r="BE21" s="253">
        <v>10.225988700599999</v>
      </c>
      <c r="BF21" s="253">
        <v>5.1129943502999993</v>
      </c>
      <c r="BG21" s="253">
        <v>5.1129943502999993</v>
      </c>
      <c r="BH21" s="253">
        <v>4.0903954802999998</v>
      </c>
      <c r="BI21" s="253">
        <v>2.0451977401999999</v>
      </c>
      <c r="BJ21" s="269">
        <v>0</v>
      </c>
    </row>
    <row r="22" spans="1:62" ht="14.4" thickBot="1">
      <c r="A22" s="1382" t="s">
        <v>31</v>
      </c>
      <c r="B22" s="250" t="s">
        <v>157</v>
      </c>
      <c r="C22" s="254">
        <v>101</v>
      </c>
      <c r="D22" s="254">
        <v>99</v>
      </c>
      <c r="E22" s="254">
        <v>138</v>
      </c>
      <c r="F22" s="254">
        <v>130</v>
      </c>
      <c r="G22" s="254">
        <v>83</v>
      </c>
      <c r="H22" s="254">
        <v>53</v>
      </c>
      <c r="I22" s="254">
        <v>95</v>
      </c>
      <c r="J22" s="254">
        <v>138</v>
      </c>
      <c r="K22" s="254">
        <v>148</v>
      </c>
      <c r="L22" s="254">
        <v>148</v>
      </c>
      <c r="M22" s="254">
        <v>110</v>
      </c>
      <c r="N22" s="254">
        <v>62</v>
      </c>
      <c r="O22" s="254">
        <v>45</v>
      </c>
      <c r="P22" s="254">
        <v>25</v>
      </c>
      <c r="Q22" s="254">
        <v>20</v>
      </c>
      <c r="R22" s="254">
        <v>21</v>
      </c>
      <c r="S22" s="254">
        <v>7</v>
      </c>
      <c r="T22" s="254">
        <v>4</v>
      </c>
      <c r="U22" s="254">
        <v>2</v>
      </c>
      <c r="V22" s="261">
        <v>1</v>
      </c>
      <c r="W22" s="270">
        <v>103.346343</v>
      </c>
      <c r="X22" s="254">
        <v>146.919499</v>
      </c>
      <c r="Y22" s="254">
        <v>135.77287700000002</v>
      </c>
      <c r="Z22" s="254">
        <v>139.82619399999999</v>
      </c>
      <c r="AA22" s="254">
        <v>70.933043999999995</v>
      </c>
      <c r="AB22" s="254">
        <v>51.679789999999997</v>
      </c>
      <c r="AC22" s="254">
        <v>83.053286999999997</v>
      </c>
      <c r="AD22" s="254">
        <v>109.43955500000001</v>
      </c>
      <c r="AE22" s="254">
        <v>180.37259900000001</v>
      </c>
      <c r="AF22" s="254">
        <v>144.90607699999998</v>
      </c>
      <c r="AG22" s="254">
        <v>159.09268599999999</v>
      </c>
      <c r="AH22" s="254">
        <v>146.93273600000001</v>
      </c>
      <c r="AI22" s="254">
        <v>126.66615099999999</v>
      </c>
      <c r="AJ22" s="254">
        <v>74.973123999999999</v>
      </c>
      <c r="AK22" s="254">
        <v>46.613143000000001</v>
      </c>
      <c r="AL22" s="254">
        <v>32.426535000000001</v>
      </c>
      <c r="AM22" s="254">
        <v>17.226595</v>
      </c>
      <c r="AN22" s="254">
        <v>9.1199619999999992</v>
      </c>
      <c r="AO22" s="254">
        <v>6.0799750000000001</v>
      </c>
      <c r="AP22" s="271">
        <v>1.0133289999999999</v>
      </c>
      <c r="AQ22" s="281">
        <v>84.443812232999989</v>
      </c>
      <c r="AR22" s="282">
        <v>121.20170697</v>
      </c>
      <c r="AS22" s="282">
        <v>133.12318634299999</v>
      </c>
      <c r="AT22" s="282">
        <v>109.28022759599999</v>
      </c>
      <c r="AU22" s="282">
        <v>75.502702703000011</v>
      </c>
      <c r="AV22" s="282">
        <v>46.692460882699997</v>
      </c>
      <c r="AW22" s="282">
        <v>76.496159317999997</v>
      </c>
      <c r="AX22" s="282">
        <v>87.424182077000012</v>
      </c>
      <c r="AY22" s="282">
        <v>113.25405405400001</v>
      </c>
      <c r="AZ22" s="282">
        <v>153.985775249</v>
      </c>
      <c r="BA22" s="282">
        <v>141.070839261</v>
      </c>
      <c r="BB22" s="282">
        <v>150.01194879100001</v>
      </c>
      <c r="BC22" s="282">
        <v>134.11664295899999</v>
      </c>
      <c r="BD22" s="282">
        <v>108.28677098099999</v>
      </c>
      <c r="BE22" s="282">
        <v>73.515789474000002</v>
      </c>
      <c r="BF22" s="282">
        <v>41.7251778093</v>
      </c>
      <c r="BG22" s="282">
        <v>24.836415362699999</v>
      </c>
      <c r="BH22" s="282">
        <v>8.9411095305000003</v>
      </c>
      <c r="BI22" s="282">
        <v>3.973826458</v>
      </c>
      <c r="BJ22" s="283">
        <v>0</v>
      </c>
    </row>
    <row r="23" spans="1:62">
      <c r="A23" s="1383"/>
      <c r="B23" s="252" t="s">
        <v>158</v>
      </c>
      <c r="C23" s="255">
        <v>68</v>
      </c>
      <c r="D23" s="255">
        <v>110</v>
      </c>
      <c r="E23" s="255">
        <v>145</v>
      </c>
      <c r="F23" s="255">
        <v>117</v>
      </c>
      <c r="G23" s="255">
        <v>57</v>
      </c>
      <c r="H23" s="255">
        <v>65</v>
      </c>
      <c r="I23" s="255">
        <v>103</v>
      </c>
      <c r="J23" s="255">
        <v>158</v>
      </c>
      <c r="K23" s="255">
        <v>135</v>
      </c>
      <c r="L23" s="255">
        <v>152</v>
      </c>
      <c r="M23" s="255">
        <v>89</v>
      </c>
      <c r="N23" s="255">
        <v>61</v>
      </c>
      <c r="O23" s="255">
        <v>49</v>
      </c>
      <c r="P23" s="255">
        <v>24</v>
      </c>
      <c r="Q23" s="255">
        <v>18</v>
      </c>
      <c r="R23" s="255">
        <v>21</v>
      </c>
      <c r="S23" s="255">
        <v>8</v>
      </c>
      <c r="T23" s="255">
        <v>7</v>
      </c>
      <c r="U23" s="255">
        <v>4</v>
      </c>
      <c r="V23" s="262">
        <v>1</v>
      </c>
      <c r="W23" s="272">
        <v>112.466306</v>
      </c>
      <c r="X23" s="255">
        <v>134.772785</v>
      </c>
      <c r="Y23" s="255">
        <v>144.90607699999998</v>
      </c>
      <c r="Z23" s="255">
        <v>126.666152</v>
      </c>
      <c r="AA23" s="255">
        <v>65.853161999999998</v>
      </c>
      <c r="AB23" s="255">
        <v>58.759858000000008</v>
      </c>
      <c r="AC23" s="255">
        <v>90.186300000000003</v>
      </c>
      <c r="AD23" s="255">
        <v>140.85275899999999</v>
      </c>
      <c r="AE23" s="255">
        <v>171.25263699999999</v>
      </c>
      <c r="AF23" s="255">
        <v>165.159424</v>
      </c>
      <c r="AG23" s="255">
        <v>128.69281000000001</v>
      </c>
      <c r="AH23" s="255">
        <v>153.012711</v>
      </c>
      <c r="AI23" s="255">
        <v>120.58617600000001</v>
      </c>
      <c r="AJ23" s="255">
        <v>66.866491999999994</v>
      </c>
      <c r="AK23" s="255">
        <v>53.706446999999997</v>
      </c>
      <c r="AL23" s="255">
        <v>33.439863000000003</v>
      </c>
      <c r="AM23" s="255">
        <v>13.173279999999998</v>
      </c>
      <c r="AN23" s="255">
        <v>11.14662</v>
      </c>
      <c r="AO23" s="255">
        <v>6.0799739999999991</v>
      </c>
      <c r="AP23" s="273">
        <v>2.0266579999999998</v>
      </c>
      <c r="AQ23" s="284">
        <v>105.306401139</v>
      </c>
      <c r="AR23" s="285">
        <v>116.234423898</v>
      </c>
      <c r="AS23" s="285">
        <v>145.044665718</v>
      </c>
      <c r="AT23" s="285">
        <v>126.16899004299999</v>
      </c>
      <c r="AU23" s="285">
        <v>53.6466571833</v>
      </c>
      <c r="AV23" s="285">
        <v>50.666287340800004</v>
      </c>
      <c r="AW23" s="285">
        <v>91.398008535000002</v>
      </c>
      <c r="AX23" s="285">
        <v>119.21479374100001</v>
      </c>
      <c r="AY23" s="285">
        <v>147.031578948</v>
      </c>
      <c r="AZ23" s="285">
        <v>150.01194878999999</v>
      </c>
      <c r="BA23" s="285">
        <v>156.96614509299999</v>
      </c>
      <c r="BB23" s="285">
        <v>129.14935988600001</v>
      </c>
      <c r="BC23" s="285">
        <v>138.09046941700001</v>
      </c>
      <c r="BD23" s="285">
        <v>116.234423897</v>
      </c>
      <c r="BE23" s="285">
        <v>60.600853484699996</v>
      </c>
      <c r="BF23" s="285">
        <v>50.666287340700002</v>
      </c>
      <c r="BG23" s="285">
        <v>29.803698435200005</v>
      </c>
      <c r="BH23" s="285">
        <v>9.9345661449999998</v>
      </c>
      <c r="BI23" s="285">
        <v>3.973826458</v>
      </c>
      <c r="BJ23" s="286">
        <v>3.973826458</v>
      </c>
    </row>
    <row r="24" spans="1:62" ht="14.4" thickBot="1">
      <c r="A24" s="1382" t="s">
        <v>15</v>
      </c>
      <c r="B24" s="250" t="s">
        <v>120</v>
      </c>
      <c r="C24" s="251">
        <v>19</v>
      </c>
      <c r="D24" s="251">
        <v>26</v>
      </c>
      <c r="E24" s="251">
        <v>18</v>
      </c>
      <c r="F24" s="251">
        <v>25</v>
      </c>
      <c r="G24" s="251">
        <v>32</v>
      </c>
      <c r="H24" s="251">
        <v>19</v>
      </c>
      <c r="I24" s="251">
        <v>33</v>
      </c>
      <c r="J24" s="251">
        <v>23</v>
      </c>
      <c r="K24" s="251">
        <v>28</v>
      </c>
      <c r="L24" s="251">
        <v>27</v>
      </c>
      <c r="M24" s="251">
        <v>35</v>
      </c>
      <c r="N24" s="251">
        <v>19</v>
      </c>
      <c r="O24" s="251">
        <v>14</v>
      </c>
      <c r="P24" s="251">
        <v>15</v>
      </c>
      <c r="Q24" s="251">
        <v>10</v>
      </c>
      <c r="R24" s="251">
        <v>10</v>
      </c>
      <c r="S24" s="251">
        <v>3</v>
      </c>
      <c r="T24" s="251">
        <v>7</v>
      </c>
      <c r="U24" s="251">
        <v>0</v>
      </c>
      <c r="V24" s="259">
        <v>2</v>
      </c>
      <c r="W24" s="266">
        <v>41.586763000000005</v>
      </c>
      <c r="X24" s="251">
        <v>37.529517999999996</v>
      </c>
      <c r="Y24" s="251">
        <v>25.357781000000003</v>
      </c>
      <c r="Z24" s="251">
        <v>19.271913999999999</v>
      </c>
      <c r="AA24" s="251">
        <v>12.171735999999999</v>
      </c>
      <c r="AB24" s="251">
        <v>18.257604000000001</v>
      </c>
      <c r="AC24" s="251">
        <v>40.572450999999994</v>
      </c>
      <c r="AD24" s="251">
        <v>42.601074999999994</v>
      </c>
      <c r="AE24" s="251">
        <v>40.572451999999998</v>
      </c>
      <c r="AF24" s="251">
        <v>22.314849000000002</v>
      </c>
      <c r="AG24" s="251">
        <v>22.314847999999998</v>
      </c>
      <c r="AH24" s="251">
        <v>31.443649000000001</v>
      </c>
      <c r="AI24" s="251">
        <v>27.386404000000006</v>
      </c>
      <c r="AJ24" s="251">
        <v>18.257603000000003</v>
      </c>
      <c r="AK24" s="251">
        <v>8.11449</v>
      </c>
      <c r="AL24" s="251">
        <v>10.128639</v>
      </c>
      <c r="AM24" s="251">
        <v>11.099525999999999</v>
      </c>
      <c r="AN24" s="251">
        <v>3.0284589999999998</v>
      </c>
      <c r="AO24" s="251">
        <v>3.9993479999999999</v>
      </c>
      <c r="AP24" s="267">
        <v>0</v>
      </c>
      <c r="AQ24" s="266">
        <v>35.299992012099999</v>
      </c>
      <c r="AR24" s="251">
        <v>48.157381356499997</v>
      </c>
      <c r="AS24" s="251">
        <v>33.146481425000005</v>
      </c>
      <c r="AT24" s="251">
        <v>19.815535382100002</v>
      </c>
      <c r="AU24" s="251">
        <v>12.998557263200002</v>
      </c>
      <c r="AV24" s="251">
        <v>32.4476090617</v>
      </c>
      <c r="AW24" s="251">
        <v>34.013060289999999</v>
      </c>
      <c r="AX24" s="251">
        <v>50.409680962199999</v>
      </c>
      <c r="AY24" s="251">
        <v>38.390361011899998</v>
      </c>
      <c r="AZ24" s="251">
        <v>33.040880783399999</v>
      </c>
      <c r="BA24" s="251">
        <v>25.978743642499996</v>
      </c>
      <c r="BB24" s="251">
        <v>21.287630783899999</v>
      </c>
      <c r="BC24" s="251">
        <v>25.510625155299998</v>
      </c>
      <c r="BD24" s="251">
        <v>24.4247154804</v>
      </c>
      <c r="BE24" s="251">
        <v>17.423533085599999</v>
      </c>
      <c r="BF24" s="251">
        <v>10.176906697300002</v>
      </c>
      <c r="BG24" s="251">
        <v>8.1345454652000004</v>
      </c>
      <c r="BH24" s="251">
        <v>7.0675939769999996</v>
      </c>
      <c r="BI24" s="251">
        <v>4.0908271647000003</v>
      </c>
      <c r="BJ24" s="267">
        <v>1</v>
      </c>
    </row>
    <row r="25" spans="1:62">
      <c r="A25" s="1383"/>
      <c r="B25" s="252" t="s">
        <v>121</v>
      </c>
      <c r="C25" s="253">
        <v>22</v>
      </c>
      <c r="D25" s="253">
        <v>24</v>
      </c>
      <c r="E25" s="253">
        <v>16</v>
      </c>
      <c r="F25" s="253">
        <v>27</v>
      </c>
      <c r="G25" s="253">
        <v>14</v>
      </c>
      <c r="H25" s="253">
        <v>20</v>
      </c>
      <c r="I25" s="253">
        <v>25</v>
      </c>
      <c r="J25" s="253">
        <v>24</v>
      </c>
      <c r="K25" s="253">
        <v>26</v>
      </c>
      <c r="L25" s="253">
        <v>28</v>
      </c>
      <c r="M25" s="253">
        <v>26</v>
      </c>
      <c r="N25" s="253">
        <v>16</v>
      </c>
      <c r="O25" s="253">
        <v>19</v>
      </c>
      <c r="P25" s="253">
        <v>9</v>
      </c>
      <c r="Q25" s="253">
        <v>10</v>
      </c>
      <c r="R25" s="253">
        <v>10</v>
      </c>
      <c r="S25" s="253">
        <v>9</v>
      </c>
      <c r="T25" s="253">
        <v>11</v>
      </c>
      <c r="U25" s="253">
        <v>17</v>
      </c>
      <c r="V25" s="260">
        <v>3</v>
      </c>
      <c r="W25" s="268">
        <v>44.629697</v>
      </c>
      <c r="X25" s="253">
        <v>42.601075000000002</v>
      </c>
      <c r="Y25" s="253">
        <v>24.34347</v>
      </c>
      <c r="Z25" s="253">
        <v>16.228981999999998</v>
      </c>
      <c r="AA25" s="253">
        <v>15.214669999999998</v>
      </c>
      <c r="AB25" s="253">
        <v>25.357782999999998</v>
      </c>
      <c r="AC25" s="253">
        <v>38.543827999999998</v>
      </c>
      <c r="AD25" s="253">
        <v>44.629697000000007</v>
      </c>
      <c r="AE25" s="253">
        <v>31.443649999999998</v>
      </c>
      <c r="AF25" s="253">
        <v>19.271913999999999</v>
      </c>
      <c r="AG25" s="253">
        <v>31.443650000000005</v>
      </c>
      <c r="AH25" s="253">
        <v>27.386405</v>
      </c>
      <c r="AI25" s="253">
        <v>24.343469999999996</v>
      </c>
      <c r="AJ25" s="253">
        <v>13.186046999999999</v>
      </c>
      <c r="AK25" s="253">
        <v>9.1143260000000001</v>
      </c>
      <c r="AL25" s="253">
        <v>12.113837</v>
      </c>
      <c r="AM25" s="253">
        <v>7.0712299999999999</v>
      </c>
      <c r="AN25" s="253">
        <v>13.041302999999999</v>
      </c>
      <c r="AO25" s="253">
        <v>12.026992</v>
      </c>
      <c r="AP25" s="269">
        <v>6.9988589999999995</v>
      </c>
      <c r="AQ25" s="268">
        <v>33.127198341700002</v>
      </c>
      <c r="AR25" s="253">
        <v>40.792293147200006</v>
      </c>
      <c r="AS25" s="253">
        <v>38.9000157356</v>
      </c>
      <c r="AT25" s="253">
        <v>20.419515987800001</v>
      </c>
      <c r="AU25" s="253">
        <v>13.1550285156</v>
      </c>
      <c r="AV25" s="253">
        <v>33.154220907999999</v>
      </c>
      <c r="AW25" s="253">
        <v>31.654129951799998</v>
      </c>
      <c r="AX25" s="253">
        <v>40.273212428100003</v>
      </c>
      <c r="AY25" s="253">
        <v>42.323531283099996</v>
      </c>
      <c r="AZ25" s="253">
        <v>24.7559938096</v>
      </c>
      <c r="BA25" s="253">
        <v>21.1977302558</v>
      </c>
      <c r="BB25" s="253">
        <v>30.508952568299996</v>
      </c>
      <c r="BC25" s="253">
        <v>26.601472447799999</v>
      </c>
      <c r="BD25" s="253">
        <v>18.378604232800001</v>
      </c>
      <c r="BE25" s="253">
        <v>14.3342750462</v>
      </c>
      <c r="BF25" s="253">
        <v>11.203620604600001</v>
      </c>
      <c r="BG25" s="253">
        <v>8.2027819311000005</v>
      </c>
      <c r="BH25" s="253">
        <v>16.157348220800003</v>
      </c>
      <c r="BI25" s="253">
        <v>15.0454135823</v>
      </c>
      <c r="BJ25" s="269">
        <v>7</v>
      </c>
    </row>
    <row r="26" spans="1:62" ht="14.4" thickBot="1">
      <c r="A26" s="1382" t="s">
        <v>16</v>
      </c>
      <c r="B26" s="250" t="s">
        <v>122</v>
      </c>
      <c r="C26" s="254">
        <v>91</v>
      </c>
      <c r="D26" s="254">
        <v>111</v>
      </c>
      <c r="E26" s="254">
        <v>80</v>
      </c>
      <c r="F26" s="254">
        <v>91</v>
      </c>
      <c r="G26" s="254">
        <v>59</v>
      </c>
      <c r="H26" s="254">
        <v>60</v>
      </c>
      <c r="I26" s="254">
        <v>94</v>
      </c>
      <c r="J26" s="254">
        <v>119</v>
      </c>
      <c r="K26" s="254">
        <v>100</v>
      </c>
      <c r="L26" s="254">
        <v>113</v>
      </c>
      <c r="M26" s="254">
        <v>106</v>
      </c>
      <c r="N26" s="254">
        <v>52</v>
      </c>
      <c r="O26" s="254">
        <v>58</v>
      </c>
      <c r="P26" s="254">
        <v>49</v>
      </c>
      <c r="Q26" s="254">
        <v>48</v>
      </c>
      <c r="R26" s="254">
        <v>36</v>
      </c>
      <c r="S26" s="254">
        <v>7</v>
      </c>
      <c r="T26" s="254">
        <v>9</v>
      </c>
      <c r="U26" s="254">
        <v>3</v>
      </c>
      <c r="V26" s="261">
        <v>0</v>
      </c>
      <c r="W26" s="270">
        <v>88.42881899999999</v>
      </c>
      <c r="X26" s="254">
        <v>129.46481700000001</v>
      </c>
      <c r="Y26" s="254">
        <v>125.320379</v>
      </c>
      <c r="Z26" s="254">
        <v>95.603343999999993</v>
      </c>
      <c r="AA26" s="254">
        <v>63.835041000000004</v>
      </c>
      <c r="AB26" s="254">
        <v>58.948504999999997</v>
      </c>
      <c r="AC26" s="254">
        <v>77.356513000000007</v>
      </c>
      <c r="AD26" s="254">
        <v>120.65864100000002</v>
      </c>
      <c r="AE26" s="254">
        <v>136.758229</v>
      </c>
      <c r="AF26" s="254">
        <v>129.94373999999999</v>
      </c>
      <c r="AG26" s="254">
        <v>129.25456499999999</v>
      </c>
      <c r="AH26" s="254">
        <v>126.48798399999998</v>
      </c>
      <c r="AI26" s="254">
        <v>106.93360100000001</v>
      </c>
      <c r="AJ26" s="254">
        <v>39.431989999999999</v>
      </c>
      <c r="AK26" s="254">
        <v>55.052259999999997</v>
      </c>
      <c r="AL26" s="254">
        <v>38.468879999999999</v>
      </c>
      <c r="AM26" s="254">
        <v>29.097887999999998</v>
      </c>
      <c r="AN26" s="254">
        <v>11.432449999999999</v>
      </c>
      <c r="AO26" s="254">
        <v>0</v>
      </c>
      <c r="AP26" s="271">
        <v>1.0388170000000001</v>
      </c>
      <c r="AQ26" s="281">
        <v>103.33501094</v>
      </c>
      <c r="AR26" s="282">
        <v>97.502211872000004</v>
      </c>
      <c r="AS26" s="282">
        <v>123.73545277599999</v>
      </c>
      <c r="AT26" s="282">
        <v>105.25525697799998</v>
      </c>
      <c r="AU26" s="282">
        <v>51.359342165399994</v>
      </c>
      <c r="AV26" s="282">
        <v>60.806284022</v>
      </c>
      <c r="AW26" s="282">
        <v>67.124517981300002</v>
      </c>
      <c r="AX26" s="282">
        <v>90.574754603999992</v>
      </c>
      <c r="AY26" s="282">
        <v>116.06557628199999</v>
      </c>
      <c r="AZ26" s="282">
        <v>144.87179653699999</v>
      </c>
      <c r="BA26" s="282">
        <v>129.97390139499998</v>
      </c>
      <c r="BB26" s="282">
        <v>134.030782851</v>
      </c>
      <c r="BC26" s="282">
        <v>117.47100689299999</v>
      </c>
      <c r="BD26" s="282">
        <v>91.7622333252</v>
      </c>
      <c r="BE26" s="282">
        <v>38.486721070800002</v>
      </c>
      <c r="BF26" s="282">
        <v>49.1592918009</v>
      </c>
      <c r="BG26" s="282">
        <v>29.506954454100001</v>
      </c>
      <c r="BH26" s="282">
        <v>17.804096760699998</v>
      </c>
      <c r="BI26" s="282">
        <v>4.1702056162000005</v>
      </c>
      <c r="BJ26" s="283">
        <v>0</v>
      </c>
    </row>
    <row r="27" spans="1:62">
      <c r="A27" s="1383"/>
      <c r="B27" s="252" t="s">
        <v>123</v>
      </c>
      <c r="C27" s="255">
        <v>80</v>
      </c>
      <c r="D27" s="255">
        <v>102</v>
      </c>
      <c r="E27" s="255">
        <v>81</v>
      </c>
      <c r="F27" s="255">
        <v>81</v>
      </c>
      <c r="G27" s="255">
        <v>42</v>
      </c>
      <c r="H27" s="255">
        <v>51</v>
      </c>
      <c r="I27" s="255">
        <v>119</v>
      </c>
      <c r="J27" s="255">
        <v>126</v>
      </c>
      <c r="K27" s="255">
        <v>88</v>
      </c>
      <c r="L27" s="255">
        <v>131</v>
      </c>
      <c r="M27" s="255">
        <v>89</v>
      </c>
      <c r="N27" s="255">
        <v>63</v>
      </c>
      <c r="O27" s="255">
        <v>53</v>
      </c>
      <c r="P27" s="255">
        <v>58</v>
      </c>
      <c r="Q27" s="255">
        <v>48</v>
      </c>
      <c r="R27" s="255">
        <v>32</v>
      </c>
      <c r="S27" s="255">
        <v>11</v>
      </c>
      <c r="T27" s="255">
        <v>16</v>
      </c>
      <c r="U27" s="255">
        <v>1</v>
      </c>
      <c r="V27" s="262">
        <v>0</v>
      </c>
      <c r="W27" s="272">
        <v>100.786432</v>
      </c>
      <c r="X27" s="255">
        <v>107.816902</v>
      </c>
      <c r="Y27" s="255">
        <v>103.82776700000001</v>
      </c>
      <c r="Z27" s="255">
        <v>97.622456999999997</v>
      </c>
      <c r="AA27" s="255">
        <v>68.012335000000007</v>
      </c>
      <c r="AB27" s="255">
        <v>51.633905999999996</v>
      </c>
      <c r="AC27" s="255">
        <v>78.389902000000006</v>
      </c>
      <c r="AD27" s="255">
        <v>141.02564699999999</v>
      </c>
      <c r="AE27" s="255">
        <v>151.18185899999997</v>
      </c>
      <c r="AF27" s="255">
        <v>116.611008</v>
      </c>
      <c r="AG27" s="255">
        <v>114.942492</v>
      </c>
      <c r="AH27" s="255">
        <v>130.75635199999999</v>
      </c>
      <c r="AI27" s="255">
        <v>98.634174999999999</v>
      </c>
      <c r="AJ27" s="255">
        <v>53.970341000000005</v>
      </c>
      <c r="AK27" s="255">
        <v>46.740603000000007</v>
      </c>
      <c r="AL27" s="255">
        <v>38.474337999999996</v>
      </c>
      <c r="AM27" s="255">
        <v>34.319209999999998</v>
      </c>
      <c r="AN27" s="255">
        <v>12.465979000000001</v>
      </c>
      <c r="AO27" s="255">
        <v>5.204974</v>
      </c>
      <c r="AP27" s="273">
        <v>2.066859</v>
      </c>
      <c r="AQ27" s="284">
        <v>83.087828919300009</v>
      </c>
      <c r="AR27" s="285">
        <v>103.36951433899999</v>
      </c>
      <c r="AS27" s="285">
        <v>99.241166746999994</v>
      </c>
      <c r="AT27" s="285">
        <v>87.500889704999992</v>
      </c>
      <c r="AU27" s="285">
        <v>53.587700718800001</v>
      </c>
      <c r="AV27" s="285">
        <v>67.680619000999997</v>
      </c>
      <c r="AW27" s="285">
        <v>89.027434014999997</v>
      </c>
      <c r="AX27" s="285">
        <v>101.378968495</v>
      </c>
      <c r="AY27" s="285">
        <v>121.94587721900001</v>
      </c>
      <c r="AZ27" s="285">
        <v>150.00940595399999</v>
      </c>
      <c r="BA27" s="285">
        <v>119.83750106700001</v>
      </c>
      <c r="BB27" s="285">
        <v>122.253675809</v>
      </c>
      <c r="BC27" s="285">
        <v>123.074089403</v>
      </c>
      <c r="BD27" s="285">
        <v>88.955797575999995</v>
      </c>
      <c r="BE27" s="285">
        <v>43.867387638799997</v>
      </c>
      <c r="BF27" s="285">
        <v>42.256488986999997</v>
      </c>
      <c r="BG27" s="285">
        <v>30.592747465199999</v>
      </c>
      <c r="BH27" s="285">
        <v>31.876878103599999</v>
      </c>
      <c r="BI27" s="285">
        <v>7.3778792778</v>
      </c>
      <c r="BJ27" s="286">
        <v>1.0827512395000001</v>
      </c>
    </row>
    <row r="28" spans="1:62" ht="14.4" thickBot="1">
      <c r="A28" s="1382" t="s">
        <v>17</v>
      </c>
      <c r="B28" s="250" t="s">
        <v>124</v>
      </c>
      <c r="C28" s="251">
        <v>42</v>
      </c>
      <c r="D28" s="251">
        <v>39</v>
      </c>
      <c r="E28" s="251">
        <v>24</v>
      </c>
      <c r="F28" s="251">
        <v>19</v>
      </c>
      <c r="G28" s="251">
        <v>20</v>
      </c>
      <c r="H28" s="251">
        <v>34</v>
      </c>
      <c r="I28" s="251">
        <v>50</v>
      </c>
      <c r="J28" s="251">
        <v>50</v>
      </c>
      <c r="K28" s="251">
        <v>22</v>
      </c>
      <c r="L28" s="251">
        <v>38</v>
      </c>
      <c r="M28" s="251">
        <v>29</v>
      </c>
      <c r="N28" s="251">
        <v>21</v>
      </c>
      <c r="O28" s="251">
        <v>16</v>
      </c>
      <c r="P28" s="251">
        <v>20</v>
      </c>
      <c r="Q28" s="251">
        <v>22</v>
      </c>
      <c r="R28" s="251">
        <v>13</v>
      </c>
      <c r="S28" s="251">
        <v>7</v>
      </c>
      <c r="T28" s="251">
        <v>7</v>
      </c>
      <c r="U28" s="251">
        <v>2</v>
      </c>
      <c r="V28" s="259">
        <v>0</v>
      </c>
      <c r="W28" s="266">
        <v>41.960820999999996</v>
      </c>
      <c r="X28" s="251">
        <v>44.958023000000004</v>
      </c>
      <c r="Y28" s="251">
        <v>42.959887999999999</v>
      </c>
      <c r="Z28" s="251">
        <v>29.972013999999998</v>
      </c>
      <c r="AA28" s="251">
        <v>10.989737999999999</v>
      </c>
      <c r="AB28" s="251">
        <v>25.975746000000001</v>
      </c>
      <c r="AC28" s="251">
        <v>26.974812999999997</v>
      </c>
      <c r="AD28" s="251">
        <v>55.947761</v>
      </c>
      <c r="AE28" s="251">
        <v>53.949627000000007</v>
      </c>
      <c r="AF28" s="251">
        <v>42.959887999999999</v>
      </c>
      <c r="AG28" s="251">
        <v>25.975746999999998</v>
      </c>
      <c r="AH28" s="251">
        <v>32.969215999999996</v>
      </c>
      <c r="AI28" s="251">
        <v>25.975746999999998</v>
      </c>
      <c r="AJ28" s="251">
        <v>17.983208999999999</v>
      </c>
      <c r="AK28" s="251">
        <v>11.988806</v>
      </c>
      <c r="AL28" s="251">
        <v>11.988806</v>
      </c>
      <c r="AM28" s="251">
        <v>11.988804999999999</v>
      </c>
      <c r="AN28" s="251">
        <v>2.997201</v>
      </c>
      <c r="AO28" s="251">
        <v>0</v>
      </c>
      <c r="AP28" s="267">
        <v>0</v>
      </c>
      <c r="AQ28" s="266">
        <v>31.959934730000001</v>
      </c>
      <c r="AR28" s="251">
        <v>44.793006786900001</v>
      </c>
      <c r="AS28" s="251">
        <v>40.707079394499999</v>
      </c>
      <c r="AT28" s="251">
        <v>30.905869980799999</v>
      </c>
      <c r="AU28" s="251">
        <v>15.043480484299998</v>
      </c>
      <c r="AV28" s="251">
        <v>25.486400443499996</v>
      </c>
      <c r="AW28" s="251">
        <v>40.411777364800002</v>
      </c>
      <c r="AX28" s="251">
        <v>32.209068311999999</v>
      </c>
      <c r="AY28" s="251">
        <v>47.037680665699995</v>
      </c>
      <c r="AZ28" s="251">
        <v>50.095937817700005</v>
      </c>
      <c r="BA28" s="251">
        <v>44.659978781900001</v>
      </c>
      <c r="BB28" s="251">
        <v>24.520011842199999</v>
      </c>
      <c r="BC28" s="251">
        <v>34.818418383299999</v>
      </c>
      <c r="BD28" s="251">
        <v>22.543512671900004</v>
      </c>
      <c r="BE28" s="251">
        <v>17.431613002200002</v>
      </c>
      <c r="BF28" s="251">
        <v>11.3237447815</v>
      </c>
      <c r="BG28" s="251">
        <v>10.268823467200001</v>
      </c>
      <c r="BH28" s="251">
        <v>6.1520294474000004</v>
      </c>
      <c r="BI28" s="251">
        <v>1.0253382412000001</v>
      </c>
      <c r="BJ28" s="267">
        <v>0</v>
      </c>
    </row>
    <row r="29" spans="1:62">
      <c r="A29" s="1383"/>
      <c r="B29" s="252" t="s">
        <v>125</v>
      </c>
      <c r="C29" s="253">
        <v>48</v>
      </c>
      <c r="D29" s="253">
        <v>28</v>
      </c>
      <c r="E29" s="253">
        <v>26</v>
      </c>
      <c r="F29" s="253">
        <v>21</v>
      </c>
      <c r="G29" s="253">
        <v>12</v>
      </c>
      <c r="H29" s="253">
        <v>27</v>
      </c>
      <c r="I29" s="253">
        <v>52</v>
      </c>
      <c r="J29" s="253">
        <v>36</v>
      </c>
      <c r="K29" s="253">
        <v>26</v>
      </c>
      <c r="L29" s="253">
        <v>38</v>
      </c>
      <c r="M29" s="253">
        <v>35</v>
      </c>
      <c r="N29" s="253">
        <v>15</v>
      </c>
      <c r="O29" s="253">
        <v>20</v>
      </c>
      <c r="P29" s="253">
        <v>17</v>
      </c>
      <c r="Q29" s="253">
        <v>16</v>
      </c>
      <c r="R29" s="253">
        <v>8</v>
      </c>
      <c r="S29" s="253">
        <v>12</v>
      </c>
      <c r="T29" s="253">
        <v>4</v>
      </c>
      <c r="U29" s="253">
        <v>4</v>
      </c>
      <c r="V29" s="260">
        <v>0</v>
      </c>
      <c r="W29" s="268">
        <v>42.959887000000002</v>
      </c>
      <c r="X29" s="253">
        <v>59.944029999999998</v>
      </c>
      <c r="Y29" s="253">
        <v>42.959887999999999</v>
      </c>
      <c r="Z29" s="253">
        <v>23.977611</v>
      </c>
      <c r="AA29" s="253">
        <v>17.983209000000002</v>
      </c>
      <c r="AB29" s="253">
        <v>26.974813000000001</v>
      </c>
      <c r="AC29" s="253">
        <v>37.964551999999998</v>
      </c>
      <c r="AD29" s="253">
        <v>59.944029</v>
      </c>
      <c r="AE29" s="253">
        <v>59.944029</v>
      </c>
      <c r="AF29" s="253">
        <v>32.969215999999996</v>
      </c>
      <c r="AG29" s="253">
        <v>23.977612000000001</v>
      </c>
      <c r="AH29" s="253">
        <v>42.959886999999995</v>
      </c>
      <c r="AI29" s="253">
        <v>22.978543000000002</v>
      </c>
      <c r="AJ29" s="253">
        <v>16.984141000000001</v>
      </c>
      <c r="AK29" s="253">
        <v>13.986940000000001</v>
      </c>
      <c r="AL29" s="253">
        <v>12.987871999999999</v>
      </c>
      <c r="AM29" s="253">
        <v>6.9934700000000003</v>
      </c>
      <c r="AN29" s="253">
        <v>3.9962680000000002</v>
      </c>
      <c r="AO29" s="253">
        <v>1.9981340000000001</v>
      </c>
      <c r="AP29" s="269">
        <v>0</v>
      </c>
      <c r="AQ29" s="268">
        <v>37.921372074099999</v>
      </c>
      <c r="AR29" s="253">
        <v>40.767077612700007</v>
      </c>
      <c r="AS29" s="253">
        <v>49.671844842500008</v>
      </c>
      <c r="AT29" s="253">
        <v>36.780252900199997</v>
      </c>
      <c r="AU29" s="253">
        <v>13.0502753091</v>
      </c>
      <c r="AV29" s="253">
        <v>34.568239435099997</v>
      </c>
      <c r="AW29" s="253">
        <v>34.259525210099994</v>
      </c>
      <c r="AX29" s="253">
        <v>38.977780957</v>
      </c>
      <c r="AY29" s="253">
        <v>51.135436726500004</v>
      </c>
      <c r="AZ29" s="253">
        <v>55.339263532499999</v>
      </c>
      <c r="BA29" s="253">
        <v>36.736821488700002</v>
      </c>
      <c r="BB29" s="253">
        <v>28.592644635300001</v>
      </c>
      <c r="BC29" s="253">
        <v>42.069746876899998</v>
      </c>
      <c r="BD29" s="253">
        <v>24.609837390499997</v>
      </c>
      <c r="BE29" s="253">
        <v>15.3665686706</v>
      </c>
      <c r="BF29" s="253">
        <v>8.2477300578000001</v>
      </c>
      <c r="BG29" s="253">
        <v>11.293728696300001</v>
      </c>
      <c r="BH29" s="253">
        <v>4.1165775136999994</v>
      </c>
      <c r="BI29" s="253">
        <v>3.0910227663000001</v>
      </c>
      <c r="BJ29" s="269">
        <v>1.0105467047000001</v>
      </c>
    </row>
    <row r="30" spans="1:62" ht="14.4" thickBot="1">
      <c r="A30" s="1382" t="s">
        <v>1</v>
      </c>
      <c r="B30" s="250" t="s">
        <v>178</v>
      </c>
      <c r="C30" s="254">
        <v>317</v>
      </c>
      <c r="D30" s="254">
        <v>312</v>
      </c>
      <c r="E30" s="254">
        <v>358</v>
      </c>
      <c r="F30" s="254">
        <v>321</v>
      </c>
      <c r="G30" s="254">
        <v>407</v>
      </c>
      <c r="H30" s="254">
        <v>473</v>
      </c>
      <c r="I30" s="254">
        <v>375</v>
      </c>
      <c r="J30" s="254">
        <v>386</v>
      </c>
      <c r="K30" s="254">
        <v>352</v>
      </c>
      <c r="L30" s="254">
        <v>341</v>
      </c>
      <c r="M30" s="254">
        <v>327</v>
      </c>
      <c r="N30" s="254">
        <v>197</v>
      </c>
      <c r="O30" s="254">
        <v>211</v>
      </c>
      <c r="P30" s="254">
        <v>202</v>
      </c>
      <c r="Q30" s="254">
        <v>170</v>
      </c>
      <c r="R30" s="254">
        <v>118</v>
      </c>
      <c r="S30" s="254">
        <v>58</v>
      </c>
      <c r="T30" s="254">
        <v>46</v>
      </c>
      <c r="U30" s="254">
        <v>8</v>
      </c>
      <c r="V30" s="261">
        <v>4</v>
      </c>
      <c r="W30" s="270">
        <v>249.60469800000001</v>
      </c>
      <c r="X30" s="254">
        <v>252.396726</v>
      </c>
      <c r="Y30" s="254">
        <v>308.385176</v>
      </c>
      <c r="Z30" s="254">
        <v>315.805834</v>
      </c>
      <c r="AA30" s="254">
        <v>444.78073400000005</v>
      </c>
      <c r="AB30" s="254">
        <v>357.08441099999999</v>
      </c>
      <c r="AC30" s="254">
        <v>267.456594</v>
      </c>
      <c r="AD30" s="254">
        <v>316.42605200000003</v>
      </c>
      <c r="AE30" s="254">
        <v>333.57998900000001</v>
      </c>
      <c r="AF30" s="254">
        <v>355.96762799999999</v>
      </c>
      <c r="AG30" s="254">
        <v>371.17492500000003</v>
      </c>
      <c r="AH30" s="254">
        <v>371.00749999999999</v>
      </c>
      <c r="AI30" s="254">
        <v>288.42292900000001</v>
      </c>
      <c r="AJ30" s="254">
        <v>184.20705699999999</v>
      </c>
      <c r="AK30" s="254">
        <v>168.25110799999999</v>
      </c>
      <c r="AL30" s="254">
        <v>171.09946200000002</v>
      </c>
      <c r="AM30" s="254">
        <v>139.62932799999999</v>
      </c>
      <c r="AN30" s="254">
        <v>91.309893000000002</v>
      </c>
      <c r="AO30" s="254">
        <v>30.228254999999997</v>
      </c>
      <c r="AP30" s="271">
        <v>6.5836950000000005</v>
      </c>
      <c r="AQ30" s="281">
        <v>281.79008109899996</v>
      </c>
      <c r="AR30" s="282">
        <v>261.90273177099999</v>
      </c>
      <c r="AS30" s="282">
        <v>300.178654779</v>
      </c>
      <c r="AT30" s="282">
        <v>380.20203468800003</v>
      </c>
      <c r="AU30" s="282">
        <v>373.70015734899994</v>
      </c>
      <c r="AV30" s="282">
        <v>388.35632680600003</v>
      </c>
      <c r="AW30" s="282">
        <v>267.03494698399999</v>
      </c>
      <c r="AX30" s="282">
        <v>229.93168632200002</v>
      </c>
      <c r="AY30" s="282">
        <v>367.29998924399996</v>
      </c>
      <c r="AZ30" s="282">
        <v>341.23569569700004</v>
      </c>
      <c r="BA30" s="282">
        <v>287.14954820899999</v>
      </c>
      <c r="BB30" s="282">
        <v>340.03567082300003</v>
      </c>
      <c r="BC30" s="282">
        <v>399.24175098700005</v>
      </c>
      <c r="BD30" s="282">
        <v>239.96265949699998</v>
      </c>
      <c r="BE30" s="282">
        <v>211.88728654099998</v>
      </c>
      <c r="BF30" s="282">
        <v>175.156645465</v>
      </c>
      <c r="BG30" s="282">
        <v>169.54915060299999</v>
      </c>
      <c r="BH30" s="282">
        <v>85.097998496999992</v>
      </c>
      <c r="BI30" s="282">
        <v>41.417731177</v>
      </c>
      <c r="BJ30" s="283">
        <v>7.8673040405999997</v>
      </c>
    </row>
    <row r="31" spans="1:62">
      <c r="A31" s="1383"/>
      <c r="B31" s="252" t="s">
        <v>179</v>
      </c>
      <c r="C31" s="255">
        <v>299</v>
      </c>
      <c r="D31" s="255">
        <v>288</v>
      </c>
      <c r="E31" s="255">
        <v>305</v>
      </c>
      <c r="F31" s="255">
        <v>333</v>
      </c>
      <c r="G31" s="255">
        <v>475</v>
      </c>
      <c r="H31" s="255">
        <v>463</v>
      </c>
      <c r="I31" s="255">
        <v>381</v>
      </c>
      <c r="J31" s="255">
        <v>380</v>
      </c>
      <c r="K31" s="255">
        <v>338</v>
      </c>
      <c r="L31" s="255">
        <v>405</v>
      </c>
      <c r="M31" s="255">
        <v>327</v>
      </c>
      <c r="N31" s="255">
        <v>227</v>
      </c>
      <c r="O31" s="255">
        <v>240</v>
      </c>
      <c r="P31" s="255">
        <v>240</v>
      </c>
      <c r="Q31" s="255">
        <v>194</v>
      </c>
      <c r="R31" s="255">
        <v>165</v>
      </c>
      <c r="S31" s="255">
        <v>92</v>
      </c>
      <c r="T31" s="255">
        <v>82</v>
      </c>
      <c r="U31" s="255">
        <v>38</v>
      </c>
      <c r="V31" s="262">
        <v>14</v>
      </c>
      <c r="W31" s="272">
        <v>239.799047</v>
      </c>
      <c r="X31" s="255">
        <v>238.53661399999999</v>
      </c>
      <c r="Y31" s="255">
        <v>290.25942900000001</v>
      </c>
      <c r="Z31" s="255">
        <v>403.24399499999998</v>
      </c>
      <c r="AA31" s="255">
        <v>578.492481</v>
      </c>
      <c r="AB31" s="255">
        <v>340.61768800000004</v>
      </c>
      <c r="AC31" s="255">
        <v>258.55224999999996</v>
      </c>
      <c r="AD31" s="255">
        <v>307.24525299999999</v>
      </c>
      <c r="AE31" s="255">
        <v>365.69895400000001</v>
      </c>
      <c r="AF31" s="255">
        <v>405.19546800000001</v>
      </c>
      <c r="AG31" s="255">
        <v>403.53053399999999</v>
      </c>
      <c r="AH31" s="255">
        <v>415.66548599999999</v>
      </c>
      <c r="AI31" s="255">
        <v>331.42187799999994</v>
      </c>
      <c r="AJ31" s="255">
        <v>260.82633600000003</v>
      </c>
      <c r="AK31" s="255">
        <v>261.784221</v>
      </c>
      <c r="AL31" s="255">
        <v>237.00262199999997</v>
      </c>
      <c r="AM31" s="255">
        <v>157.33150799999999</v>
      </c>
      <c r="AN31" s="255">
        <v>140.512922</v>
      </c>
      <c r="AO31" s="255">
        <v>58.134243999999995</v>
      </c>
      <c r="AP31" s="273">
        <v>15.747076999999999</v>
      </c>
      <c r="AQ31" s="284">
        <v>285.60956658700002</v>
      </c>
      <c r="AR31" s="285">
        <v>256.84058910099998</v>
      </c>
      <c r="AS31" s="285">
        <v>296.321157793</v>
      </c>
      <c r="AT31" s="285">
        <v>432.21936880499993</v>
      </c>
      <c r="AU31" s="285">
        <v>518.73880916899998</v>
      </c>
      <c r="AV31" s="285">
        <v>334.04210872599998</v>
      </c>
      <c r="AW31" s="285">
        <v>326.88797205499998</v>
      </c>
      <c r="AX31" s="285">
        <v>291.22795025400001</v>
      </c>
      <c r="AY31" s="285">
        <v>376.83855609</v>
      </c>
      <c r="AZ31" s="285">
        <v>314.73662978799996</v>
      </c>
      <c r="BA31" s="285">
        <v>393.61722354000005</v>
      </c>
      <c r="BB31" s="285">
        <v>416.152534683</v>
      </c>
      <c r="BC31" s="285">
        <v>344.68565151199999</v>
      </c>
      <c r="BD31" s="285">
        <v>390.49956629599995</v>
      </c>
      <c r="BE31" s="285">
        <v>237.60710226599997</v>
      </c>
      <c r="BF31" s="285">
        <v>228.33162255099998</v>
      </c>
      <c r="BG31" s="285">
        <v>198.913300384</v>
      </c>
      <c r="BH31" s="285">
        <v>197.65764809000001</v>
      </c>
      <c r="BI31" s="285">
        <v>116.86220225</v>
      </c>
      <c r="BJ31" s="286">
        <v>37.212389464799998</v>
      </c>
    </row>
    <row r="32" spans="1:62" ht="14.4" thickBot="1">
      <c r="A32" s="1382" t="s">
        <v>301</v>
      </c>
      <c r="B32" s="250" t="s">
        <v>325</v>
      </c>
      <c r="C32" s="251">
        <v>1029</v>
      </c>
      <c r="D32" s="251">
        <v>1102</v>
      </c>
      <c r="E32" s="251">
        <v>1205</v>
      </c>
      <c r="F32" s="251">
        <v>1438</v>
      </c>
      <c r="G32" s="251">
        <v>1524</v>
      </c>
      <c r="H32" s="251">
        <v>1376</v>
      </c>
      <c r="I32" s="251">
        <v>1167</v>
      </c>
      <c r="J32" s="251">
        <v>1130</v>
      </c>
      <c r="K32" s="251">
        <v>1137</v>
      </c>
      <c r="L32" s="251">
        <v>1352</v>
      </c>
      <c r="M32" s="251">
        <v>1279</v>
      </c>
      <c r="N32" s="251">
        <v>970</v>
      </c>
      <c r="O32" s="251">
        <v>873</v>
      </c>
      <c r="P32" s="251">
        <v>668</v>
      </c>
      <c r="Q32" s="251">
        <v>535</v>
      </c>
      <c r="R32" s="251">
        <v>425</v>
      </c>
      <c r="S32" s="251">
        <v>180</v>
      </c>
      <c r="T32" s="251">
        <v>115</v>
      </c>
      <c r="U32" s="251">
        <v>33</v>
      </c>
      <c r="V32" s="259">
        <v>4</v>
      </c>
      <c r="W32" s="266">
        <v>1098.2307840000001</v>
      </c>
      <c r="X32" s="251">
        <v>983.07678400000009</v>
      </c>
      <c r="Y32" s="251">
        <v>1055.9626389999999</v>
      </c>
      <c r="Z32" s="251">
        <v>1109.873128</v>
      </c>
      <c r="AA32" s="251">
        <v>1180.951108</v>
      </c>
      <c r="AB32" s="251">
        <v>1175.1625489999999</v>
      </c>
      <c r="AC32" s="251">
        <v>965.43771599999991</v>
      </c>
      <c r="AD32" s="251">
        <v>993.29557799999998</v>
      </c>
      <c r="AE32" s="251">
        <v>1028.978044</v>
      </c>
      <c r="AF32" s="251">
        <v>1075.3325150000001</v>
      </c>
      <c r="AG32" s="251">
        <v>1091.0898200000001</v>
      </c>
      <c r="AH32" s="251">
        <v>1165.210202</v>
      </c>
      <c r="AI32" s="251">
        <v>1149.6013499999999</v>
      </c>
      <c r="AJ32" s="251">
        <v>909.34750500000007</v>
      </c>
      <c r="AK32" s="251">
        <v>820.48750100000007</v>
      </c>
      <c r="AL32" s="251">
        <v>622.04731400000003</v>
      </c>
      <c r="AM32" s="251">
        <v>403.25677499999995</v>
      </c>
      <c r="AN32" s="251">
        <v>232.39464599999999</v>
      </c>
      <c r="AO32" s="251">
        <v>63.722407000000004</v>
      </c>
      <c r="AP32" s="267">
        <v>14.977020999999999</v>
      </c>
      <c r="AQ32" s="266">
        <v>1215.9347767899999</v>
      </c>
      <c r="AR32" s="251">
        <v>1131.7126185000002</v>
      </c>
      <c r="AS32" s="251">
        <v>1166.0959833500001</v>
      </c>
      <c r="AT32" s="251">
        <v>1114.3778284</v>
      </c>
      <c r="AU32" s="251">
        <v>1074.0671773199999</v>
      </c>
      <c r="AV32" s="251">
        <v>1059.72902385</v>
      </c>
      <c r="AW32" s="251">
        <v>1059.4549209899999</v>
      </c>
      <c r="AX32" s="251">
        <v>1039.3065655300002</v>
      </c>
      <c r="AY32" s="251">
        <v>1078.5712074400001</v>
      </c>
      <c r="AZ32" s="251">
        <v>1074.3214686900001</v>
      </c>
      <c r="BA32" s="251">
        <v>922.22557124000002</v>
      </c>
      <c r="BB32" s="251">
        <v>977.14160253</v>
      </c>
      <c r="BC32" s="251">
        <v>1183.8832152099999</v>
      </c>
      <c r="BD32" s="251">
        <v>1129.5608570900001</v>
      </c>
      <c r="BE32" s="251">
        <v>780.17196397999999</v>
      </c>
      <c r="BF32" s="251">
        <v>647.35979831999998</v>
      </c>
      <c r="BG32" s="251">
        <v>515.14386091599999</v>
      </c>
      <c r="BH32" s="251">
        <v>271.241488586</v>
      </c>
      <c r="BI32" s="251">
        <v>116.877230677</v>
      </c>
      <c r="BJ32" s="267">
        <v>22.981395497800001</v>
      </c>
    </row>
    <row r="33" spans="1:62">
      <c r="A33" s="1383"/>
      <c r="B33" s="252" t="s">
        <v>326</v>
      </c>
      <c r="C33" s="253">
        <v>1035</v>
      </c>
      <c r="D33" s="253">
        <v>1023</v>
      </c>
      <c r="E33" s="253">
        <v>1221</v>
      </c>
      <c r="F33" s="253">
        <v>1478</v>
      </c>
      <c r="G33" s="253">
        <v>1465</v>
      </c>
      <c r="H33" s="253">
        <v>1321</v>
      </c>
      <c r="I33" s="253">
        <v>1275</v>
      </c>
      <c r="J33" s="253">
        <v>1197</v>
      </c>
      <c r="K33" s="253">
        <v>1323</v>
      </c>
      <c r="L33" s="253">
        <v>1535</v>
      </c>
      <c r="M33" s="253">
        <v>1373</v>
      </c>
      <c r="N33" s="253">
        <v>946</v>
      </c>
      <c r="O33" s="253">
        <v>909</v>
      </c>
      <c r="P33" s="253">
        <v>819</v>
      </c>
      <c r="Q33" s="253">
        <v>699</v>
      </c>
      <c r="R33" s="253">
        <v>585</v>
      </c>
      <c r="S33" s="253">
        <v>309</v>
      </c>
      <c r="T33" s="253">
        <v>296</v>
      </c>
      <c r="U33" s="253">
        <v>128</v>
      </c>
      <c r="V33" s="260">
        <v>32</v>
      </c>
      <c r="W33" s="268">
        <v>949.31561700000009</v>
      </c>
      <c r="X33" s="253">
        <v>1010.083768</v>
      </c>
      <c r="Y33" s="253">
        <v>970.23441699999989</v>
      </c>
      <c r="Z33" s="253">
        <v>1178.822093</v>
      </c>
      <c r="AA33" s="253">
        <v>1356.7903749999998</v>
      </c>
      <c r="AB33" s="253">
        <v>1169.997294</v>
      </c>
      <c r="AC33" s="253">
        <v>985.84512899999993</v>
      </c>
      <c r="AD33" s="253">
        <v>1067.208081</v>
      </c>
      <c r="AE33" s="253">
        <v>1042.5910739999999</v>
      </c>
      <c r="AF33" s="253">
        <v>1298.5914379999999</v>
      </c>
      <c r="AG33" s="253">
        <v>1209.0456099999999</v>
      </c>
      <c r="AH33" s="253">
        <v>1376.9821919999999</v>
      </c>
      <c r="AI33" s="253">
        <v>1311.8571689999999</v>
      </c>
      <c r="AJ33" s="253">
        <v>1034.8486479999999</v>
      </c>
      <c r="AK33" s="253">
        <v>895.08777600000008</v>
      </c>
      <c r="AL33" s="253">
        <v>794.75635</v>
      </c>
      <c r="AM33" s="253">
        <v>656.75440300000002</v>
      </c>
      <c r="AN33" s="253">
        <v>353.81312199999996</v>
      </c>
      <c r="AO33" s="253">
        <v>113.46738099999999</v>
      </c>
      <c r="AP33" s="269">
        <v>61.472678999999999</v>
      </c>
      <c r="AQ33" s="268">
        <v>1190.7085240900001</v>
      </c>
      <c r="AR33" s="253">
        <v>1120.8482434800001</v>
      </c>
      <c r="AS33" s="253">
        <v>1080.50055933</v>
      </c>
      <c r="AT33" s="253">
        <v>1151.2888387800001</v>
      </c>
      <c r="AU33" s="253">
        <v>1341.03779674</v>
      </c>
      <c r="AV33" s="253">
        <v>1268.6138645200001</v>
      </c>
      <c r="AW33" s="253">
        <v>1125.1238710099999</v>
      </c>
      <c r="AX33" s="253">
        <v>1079.6301488500001</v>
      </c>
      <c r="AY33" s="253">
        <v>1209.4700232300002</v>
      </c>
      <c r="AZ33" s="253">
        <v>1173.2340839000001</v>
      </c>
      <c r="BA33" s="253">
        <v>1091.2957641099999</v>
      </c>
      <c r="BB33" s="253">
        <v>1139.0072648400001</v>
      </c>
      <c r="BC33" s="253">
        <v>1413.8395453200001</v>
      </c>
      <c r="BD33" s="253">
        <v>1311.4825222100001</v>
      </c>
      <c r="BE33" s="253">
        <v>866.56688623999992</v>
      </c>
      <c r="BF33" s="253">
        <v>857.09799129999988</v>
      </c>
      <c r="BG33" s="253">
        <v>738.61587042000008</v>
      </c>
      <c r="BH33" s="253">
        <v>441.52152453500003</v>
      </c>
      <c r="BI33" s="253">
        <v>271.26988910599999</v>
      </c>
      <c r="BJ33" s="269">
        <v>83.688233101700007</v>
      </c>
    </row>
    <row r="34" spans="1:62" ht="14.4" thickBot="1">
      <c r="A34" s="1382" t="s">
        <v>2</v>
      </c>
      <c r="B34" s="250" t="s">
        <v>126</v>
      </c>
      <c r="C34" s="254">
        <v>276</v>
      </c>
      <c r="D34" s="254">
        <v>260</v>
      </c>
      <c r="E34" s="254">
        <v>227</v>
      </c>
      <c r="F34" s="254">
        <v>280</v>
      </c>
      <c r="G34" s="254">
        <v>392</v>
      </c>
      <c r="H34" s="254">
        <v>454</v>
      </c>
      <c r="I34" s="254">
        <v>343</v>
      </c>
      <c r="J34" s="254">
        <v>256</v>
      </c>
      <c r="K34" s="254">
        <v>285</v>
      </c>
      <c r="L34" s="254">
        <v>307</v>
      </c>
      <c r="M34" s="254">
        <v>219</v>
      </c>
      <c r="N34" s="254">
        <v>166</v>
      </c>
      <c r="O34" s="254">
        <v>124</v>
      </c>
      <c r="P34" s="254">
        <v>131</v>
      </c>
      <c r="Q34" s="254">
        <v>116</v>
      </c>
      <c r="R34" s="254">
        <v>117</v>
      </c>
      <c r="S34" s="254">
        <v>32</v>
      </c>
      <c r="T34" s="254">
        <v>44</v>
      </c>
      <c r="U34" s="254">
        <v>10</v>
      </c>
      <c r="V34" s="261">
        <v>3</v>
      </c>
      <c r="W34" s="270">
        <v>329.81323699999996</v>
      </c>
      <c r="X34" s="254">
        <v>269.84620800000005</v>
      </c>
      <c r="Y34" s="254">
        <v>218.87585999999999</v>
      </c>
      <c r="Z34" s="254">
        <v>286.83712800000001</v>
      </c>
      <c r="AA34" s="254">
        <v>438.86010600000003</v>
      </c>
      <c r="AB34" s="254">
        <v>447.32105300000001</v>
      </c>
      <c r="AC34" s="254">
        <v>362.08133600000002</v>
      </c>
      <c r="AD34" s="254">
        <v>355.44187499999998</v>
      </c>
      <c r="AE34" s="254">
        <v>278.48573399999998</v>
      </c>
      <c r="AF34" s="254">
        <v>240.32940499999995</v>
      </c>
      <c r="AG34" s="254">
        <v>297.83025700000002</v>
      </c>
      <c r="AH34" s="254">
        <v>283.482283</v>
      </c>
      <c r="AI34" s="254">
        <v>244.68247299999999</v>
      </c>
      <c r="AJ34" s="254">
        <v>170.90259800000001</v>
      </c>
      <c r="AK34" s="254">
        <v>125.771693</v>
      </c>
      <c r="AL34" s="254">
        <v>109.93734499999999</v>
      </c>
      <c r="AM34" s="254">
        <v>88.015390999999994</v>
      </c>
      <c r="AN34" s="254">
        <v>49.0364</v>
      </c>
      <c r="AO34" s="254">
        <v>16.076633000000001</v>
      </c>
      <c r="AP34" s="271">
        <v>6.0608920000000008</v>
      </c>
      <c r="AQ34" s="281">
        <v>312.836369655</v>
      </c>
      <c r="AR34" s="282">
        <v>276.09866148000003</v>
      </c>
      <c r="AS34" s="282">
        <v>280.20873074499997</v>
      </c>
      <c r="AT34" s="282">
        <v>312.45639740500002</v>
      </c>
      <c r="AU34" s="282">
        <v>448.18465527399997</v>
      </c>
      <c r="AV34" s="282">
        <v>534.73829362399999</v>
      </c>
      <c r="AW34" s="282">
        <v>362.00226397900002</v>
      </c>
      <c r="AX34" s="282">
        <v>284.33481232600002</v>
      </c>
      <c r="AY34" s="282">
        <v>289.65853859800001</v>
      </c>
      <c r="AZ34" s="282">
        <v>242.15913440600002</v>
      </c>
      <c r="BA34" s="282">
        <v>250.914886346</v>
      </c>
      <c r="BB34" s="282">
        <v>322.27949557200003</v>
      </c>
      <c r="BC34" s="282">
        <v>259.42412255300002</v>
      </c>
      <c r="BD34" s="282">
        <v>168.307186882</v>
      </c>
      <c r="BE34" s="282">
        <v>169.82684869100001</v>
      </c>
      <c r="BF34" s="282">
        <v>101.91753416399999</v>
      </c>
      <c r="BG34" s="282">
        <v>62.022246424000009</v>
      </c>
      <c r="BH34" s="282">
        <v>68.375913446500007</v>
      </c>
      <c r="BI34" s="282">
        <v>16.5582895119</v>
      </c>
      <c r="BJ34" s="283">
        <v>13.488947123199999</v>
      </c>
    </row>
    <row r="35" spans="1:62">
      <c r="A35" s="1383"/>
      <c r="B35" s="252" t="s">
        <v>187</v>
      </c>
      <c r="C35" s="255">
        <v>280</v>
      </c>
      <c r="D35" s="255">
        <v>233</v>
      </c>
      <c r="E35" s="255">
        <v>253</v>
      </c>
      <c r="F35" s="255">
        <v>335</v>
      </c>
      <c r="G35" s="255">
        <v>470</v>
      </c>
      <c r="H35" s="255">
        <v>462</v>
      </c>
      <c r="I35" s="255">
        <v>342</v>
      </c>
      <c r="J35" s="255">
        <v>292</v>
      </c>
      <c r="K35" s="255">
        <v>307</v>
      </c>
      <c r="L35" s="255">
        <v>286</v>
      </c>
      <c r="M35" s="255">
        <v>247</v>
      </c>
      <c r="N35" s="255">
        <v>158</v>
      </c>
      <c r="O35" s="255">
        <v>156</v>
      </c>
      <c r="P35" s="255">
        <v>181</v>
      </c>
      <c r="Q35" s="255">
        <v>161</v>
      </c>
      <c r="R35" s="255">
        <v>155</v>
      </c>
      <c r="S35" s="255">
        <v>111</v>
      </c>
      <c r="T35" s="255">
        <v>90</v>
      </c>
      <c r="U35" s="255">
        <v>29</v>
      </c>
      <c r="V35" s="262">
        <v>9</v>
      </c>
      <c r="W35" s="272">
        <v>297.83146399999998</v>
      </c>
      <c r="X35" s="255">
        <v>277.84285599999998</v>
      </c>
      <c r="Y35" s="255">
        <v>275.84399499999995</v>
      </c>
      <c r="Z35" s="255">
        <v>334.81038899999999</v>
      </c>
      <c r="AA35" s="255">
        <v>577.67076999999995</v>
      </c>
      <c r="AB35" s="255">
        <v>492.71978899999999</v>
      </c>
      <c r="AC35" s="255">
        <v>393.77617900000001</v>
      </c>
      <c r="AD35" s="255">
        <v>363.792665</v>
      </c>
      <c r="AE35" s="255">
        <v>332.81152800000001</v>
      </c>
      <c r="AF35" s="255">
        <v>280.83994300000006</v>
      </c>
      <c r="AG35" s="255">
        <v>322.81662099999994</v>
      </c>
      <c r="AH35" s="255">
        <v>326.813739</v>
      </c>
      <c r="AI35" s="255">
        <v>287.83595600000001</v>
      </c>
      <c r="AJ35" s="255">
        <v>187.89291599999999</v>
      </c>
      <c r="AK35" s="255">
        <v>187.91435200000004</v>
      </c>
      <c r="AL35" s="255">
        <v>176.963491</v>
      </c>
      <c r="AM35" s="255">
        <v>155.06237099999998</v>
      </c>
      <c r="AN35" s="255">
        <v>119.489571</v>
      </c>
      <c r="AO35" s="255">
        <v>43.297058</v>
      </c>
      <c r="AP35" s="273">
        <v>24.286442999999998</v>
      </c>
      <c r="AQ35" s="284">
        <v>258.41857292200001</v>
      </c>
      <c r="AR35" s="285">
        <v>241.88760665500001</v>
      </c>
      <c r="AS35" s="285">
        <v>278.82877800900002</v>
      </c>
      <c r="AT35" s="285">
        <v>469.328702217</v>
      </c>
      <c r="AU35" s="285">
        <v>617.15711216</v>
      </c>
      <c r="AV35" s="285">
        <v>469.19184512499999</v>
      </c>
      <c r="AW35" s="285">
        <v>384.75115770100001</v>
      </c>
      <c r="AX35" s="285">
        <v>335.48177697400001</v>
      </c>
      <c r="AY35" s="285">
        <v>300.22718544500003</v>
      </c>
      <c r="AZ35" s="285">
        <v>306.41278799599996</v>
      </c>
      <c r="BA35" s="285">
        <v>308.14703411100004</v>
      </c>
      <c r="BB35" s="285">
        <v>340.60932536800004</v>
      </c>
      <c r="BC35" s="285">
        <v>310.252493254</v>
      </c>
      <c r="BD35" s="285">
        <v>262.96755479000001</v>
      </c>
      <c r="BE35" s="285">
        <v>194.403981456</v>
      </c>
      <c r="BF35" s="285">
        <v>190.95026226299998</v>
      </c>
      <c r="BG35" s="285">
        <v>144.14140523700001</v>
      </c>
      <c r="BH35" s="285">
        <v>140.24219581399998</v>
      </c>
      <c r="BI35" s="285">
        <v>49.899665831</v>
      </c>
      <c r="BJ35" s="286">
        <v>23.907228476699999</v>
      </c>
    </row>
    <row r="36" spans="1:62" ht="14.4" thickBot="1">
      <c r="A36" s="1382" t="s">
        <v>32</v>
      </c>
      <c r="B36" s="250" t="s">
        <v>188</v>
      </c>
      <c r="C36" s="251">
        <v>84</v>
      </c>
      <c r="D36" s="251">
        <v>82</v>
      </c>
      <c r="E36" s="251">
        <v>86</v>
      </c>
      <c r="F36" s="251">
        <v>77</v>
      </c>
      <c r="G36" s="251">
        <v>63</v>
      </c>
      <c r="H36" s="251">
        <v>65</v>
      </c>
      <c r="I36" s="251">
        <v>96</v>
      </c>
      <c r="J36" s="251">
        <v>101</v>
      </c>
      <c r="K36" s="251">
        <v>74</v>
      </c>
      <c r="L36" s="251">
        <v>99</v>
      </c>
      <c r="M36" s="251">
        <v>69</v>
      </c>
      <c r="N36" s="251">
        <v>44</v>
      </c>
      <c r="O36" s="251">
        <v>54</v>
      </c>
      <c r="P36" s="251">
        <v>31</v>
      </c>
      <c r="Q36" s="251">
        <v>36</v>
      </c>
      <c r="R36" s="251">
        <v>17</v>
      </c>
      <c r="S36" s="251">
        <v>4</v>
      </c>
      <c r="T36" s="251">
        <v>8</v>
      </c>
      <c r="U36" s="251">
        <v>1</v>
      </c>
      <c r="V36" s="259">
        <v>0</v>
      </c>
      <c r="W36" s="266">
        <v>60.579217</v>
      </c>
      <c r="X36" s="251">
        <v>88.277398000000005</v>
      </c>
      <c r="Y36" s="251">
        <v>105.263746</v>
      </c>
      <c r="Z36" s="251">
        <v>83.681201000000001</v>
      </c>
      <c r="AA36" s="251">
        <v>57.227699999999999</v>
      </c>
      <c r="AB36" s="251">
        <v>34.382003000000005</v>
      </c>
      <c r="AC36" s="251">
        <v>43.227028000000004</v>
      </c>
      <c r="AD36" s="251">
        <v>81.940973</v>
      </c>
      <c r="AE36" s="251">
        <v>120.948607</v>
      </c>
      <c r="AF36" s="251">
        <v>96.256878</v>
      </c>
      <c r="AG36" s="251">
        <v>80.628006999999997</v>
      </c>
      <c r="AH36" s="251">
        <v>101.49821299999999</v>
      </c>
      <c r="AI36" s="251">
        <v>62.071878000000005</v>
      </c>
      <c r="AJ36" s="251">
        <v>43.747805</v>
      </c>
      <c r="AK36" s="251">
        <v>47.842436000000006</v>
      </c>
      <c r="AL36" s="251">
        <v>21.399377999999999</v>
      </c>
      <c r="AM36" s="251">
        <v>19.398295000000001</v>
      </c>
      <c r="AN36" s="251">
        <v>10.168924000000001</v>
      </c>
      <c r="AO36" s="251">
        <v>3.0768409999999999</v>
      </c>
      <c r="AP36" s="267">
        <v>2.0359669999999999</v>
      </c>
      <c r="AQ36" s="266">
        <v>44.163914936899999</v>
      </c>
      <c r="AR36" s="251">
        <v>70.062684558200004</v>
      </c>
      <c r="AS36" s="251">
        <v>89.768989908999998</v>
      </c>
      <c r="AT36" s="251">
        <v>93.015375864999996</v>
      </c>
      <c r="AU36" s="251">
        <v>51.390059810399997</v>
      </c>
      <c r="AV36" s="251">
        <v>43.906597863400002</v>
      </c>
      <c r="AW36" s="251">
        <v>38.786077982500004</v>
      </c>
      <c r="AX36" s="251">
        <v>52.157442235599994</v>
      </c>
      <c r="AY36" s="251">
        <v>81.734817137999997</v>
      </c>
      <c r="AZ36" s="251">
        <v>115.792765841</v>
      </c>
      <c r="BA36" s="251">
        <v>94.68054660899999</v>
      </c>
      <c r="BB36" s="251">
        <v>84.377980745999992</v>
      </c>
      <c r="BC36" s="251">
        <v>103.13677105299999</v>
      </c>
      <c r="BD36" s="251">
        <v>56.615259484399999</v>
      </c>
      <c r="BE36" s="251">
        <v>39.410033918099998</v>
      </c>
      <c r="BF36" s="251">
        <v>43.503350926099998</v>
      </c>
      <c r="BG36" s="251">
        <v>13.1756398727</v>
      </c>
      <c r="BH36" s="251">
        <v>15.2311190262</v>
      </c>
      <c r="BI36" s="251">
        <v>5.0068776459999995</v>
      </c>
      <c r="BJ36" s="267">
        <v>0</v>
      </c>
    </row>
    <row r="37" spans="1:62">
      <c r="A37" s="1383"/>
      <c r="B37" s="252" t="s">
        <v>169</v>
      </c>
      <c r="C37" s="253">
        <v>77</v>
      </c>
      <c r="D37" s="253">
        <v>92</v>
      </c>
      <c r="E37" s="253">
        <v>75</v>
      </c>
      <c r="F37" s="253">
        <v>64</v>
      </c>
      <c r="G37" s="253">
        <v>67</v>
      </c>
      <c r="H37" s="253">
        <v>77</v>
      </c>
      <c r="I37" s="253">
        <v>101</v>
      </c>
      <c r="J37" s="253">
        <v>94</v>
      </c>
      <c r="K37" s="253">
        <v>79</v>
      </c>
      <c r="L37" s="253">
        <v>105</v>
      </c>
      <c r="M37" s="253">
        <v>73</v>
      </c>
      <c r="N37" s="253">
        <v>52</v>
      </c>
      <c r="O37" s="253">
        <v>36</v>
      </c>
      <c r="P37" s="253">
        <v>41</v>
      </c>
      <c r="Q37" s="253">
        <v>27</v>
      </c>
      <c r="R37" s="253">
        <v>21</v>
      </c>
      <c r="S37" s="253">
        <v>9</v>
      </c>
      <c r="T37" s="253">
        <v>10</v>
      </c>
      <c r="U37" s="253">
        <v>3</v>
      </c>
      <c r="V37" s="260">
        <v>1</v>
      </c>
      <c r="W37" s="268">
        <v>41.678046999999999</v>
      </c>
      <c r="X37" s="253">
        <v>64.569376000000005</v>
      </c>
      <c r="Y37" s="253">
        <v>89.482506999999998</v>
      </c>
      <c r="Z37" s="253">
        <v>87.619829999999993</v>
      </c>
      <c r="AA37" s="253">
        <v>42.434816999999995</v>
      </c>
      <c r="AB37" s="253">
        <v>32.289354000000003</v>
      </c>
      <c r="AC37" s="253">
        <v>57.081623000000008</v>
      </c>
      <c r="AD37" s="253">
        <v>86.679439000000002</v>
      </c>
      <c r="AE37" s="253">
        <v>123.84270100000001</v>
      </c>
      <c r="AF37" s="253">
        <v>95.456673999999992</v>
      </c>
      <c r="AG37" s="253">
        <v>81.024169000000001</v>
      </c>
      <c r="AH37" s="253">
        <v>101.645692</v>
      </c>
      <c r="AI37" s="253">
        <v>66.153686000000008</v>
      </c>
      <c r="AJ37" s="253">
        <v>53.929544999999997</v>
      </c>
      <c r="AK37" s="253">
        <v>33.604266000000003</v>
      </c>
      <c r="AL37" s="253">
        <v>40.878467000000001</v>
      </c>
      <c r="AM37" s="253">
        <v>25.563518999999999</v>
      </c>
      <c r="AN37" s="253">
        <v>12.295949999999999</v>
      </c>
      <c r="AO37" s="253">
        <v>3.0883829999999999</v>
      </c>
      <c r="AP37" s="269">
        <v>1.029461</v>
      </c>
      <c r="AQ37" s="268">
        <v>47.836526486400004</v>
      </c>
      <c r="AR37" s="253">
        <v>73.208264126000003</v>
      </c>
      <c r="AS37" s="253">
        <v>71.186944501699998</v>
      </c>
      <c r="AT37" s="253">
        <v>71.6508301665</v>
      </c>
      <c r="AU37" s="253">
        <v>32.591413366099999</v>
      </c>
      <c r="AV37" s="253">
        <v>51.945443406599999</v>
      </c>
      <c r="AW37" s="253">
        <v>35.494285865000002</v>
      </c>
      <c r="AX37" s="253">
        <v>70.696521449199992</v>
      </c>
      <c r="AY37" s="253">
        <v>76.902584208000007</v>
      </c>
      <c r="AZ37" s="253">
        <v>119.50560546299999</v>
      </c>
      <c r="BA37" s="253">
        <v>92.137803582000004</v>
      </c>
      <c r="BB37" s="253">
        <v>83.628190246999992</v>
      </c>
      <c r="BC37" s="253">
        <v>96.191828020999992</v>
      </c>
      <c r="BD37" s="253">
        <v>59.695771453999996</v>
      </c>
      <c r="BE37" s="253">
        <v>50.715715041600006</v>
      </c>
      <c r="BF37" s="253">
        <v>33.430452419999995</v>
      </c>
      <c r="BG37" s="253">
        <v>40.823713194</v>
      </c>
      <c r="BH37" s="253">
        <v>19.325536599500001</v>
      </c>
      <c r="BI37" s="253">
        <v>4.0941424318999999</v>
      </c>
      <c r="BJ37" s="269">
        <v>2.0221225449000002</v>
      </c>
    </row>
    <row r="38" spans="1:62" ht="14.4" thickBot="1">
      <c r="A38" s="1382" t="s">
        <v>33</v>
      </c>
      <c r="B38" s="250" t="s">
        <v>153</v>
      </c>
      <c r="C38" s="254">
        <v>98</v>
      </c>
      <c r="D38" s="254">
        <v>102</v>
      </c>
      <c r="E38" s="254">
        <v>95</v>
      </c>
      <c r="F38" s="254">
        <v>102</v>
      </c>
      <c r="G38" s="254">
        <v>79</v>
      </c>
      <c r="H38" s="254">
        <v>75</v>
      </c>
      <c r="I38" s="254">
        <v>98</v>
      </c>
      <c r="J38" s="254">
        <v>104</v>
      </c>
      <c r="K38" s="254">
        <v>113</v>
      </c>
      <c r="L38" s="254">
        <v>108</v>
      </c>
      <c r="M38" s="254">
        <v>110</v>
      </c>
      <c r="N38" s="254">
        <v>95</v>
      </c>
      <c r="O38" s="254">
        <v>75</v>
      </c>
      <c r="P38" s="254">
        <v>77</v>
      </c>
      <c r="Q38" s="254">
        <v>59</v>
      </c>
      <c r="R38" s="254">
        <v>39</v>
      </c>
      <c r="S38" s="254">
        <v>20</v>
      </c>
      <c r="T38" s="254">
        <v>12</v>
      </c>
      <c r="U38" s="254">
        <v>8</v>
      </c>
      <c r="V38" s="261">
        <v>2</v>
      </c>
      <c r="W38" s="270">
        <v>100.21864199999999</v>
      </c>
      <c r="X38" s="254">
        <v>102.11080800000002</v>
      </c>
      <c r="Y38" s="254">
        <v>133.09003999999999</v>
      </c>
      <c r="Z38" s="254">
        <v>94.202531999999991</v>
      </c>
      <c r="AA38" s="254">
        <v>69.587773999999996</v>
      </c>
      <c r="AB38" s="254">
        <v>67.927627999999999</v>
      </c>
      <c r="AC38" s="254">
        <v>79.041409999999999</v>
      </c>
      <c r="AD38" s="254">
        <v>113.846509</v>
      </c>
      <c r="AE38" s="254">
        <v>132.97373899999999</v>
      </c>
      <c r="AF38" s="254">
        <v>139.09843499999999</v>
      </c>
      <c r="AG38" s="254">
        <v>113.616637</v>
      </c>
      <c r="AH38" s="254">
        <v>99.718688999999998</v>
      </c>
      <c r="AI38" s="254">
        <v>110.071594</v>
      </c>
      <c r="AJ38" s="254">
        <v>66.321683000000007</v>
      </c>
      <c r="AK38" s="254">
        <v>74.619910000000004</v>
      </c>
      <c r="AL38" s="254">
        <v>64.329249000000004</v>
      </c>
      <c r="AM38" s="254">
        <v>41.865797999999998</v>
      </c>
      <c r="AN38" s="254">
        <v>13.218464999999998</v>
      </c>
      <c r="AO38" s="254">
        <v>8.1820260000000005</v>
      </c>
      <c r="AP38" s="271">
        <v>2</v>
      </c>
      <c r="AQ38" s="281">
        <v>61.286169872099997</v>
      </c>
      <c r="AR38" s="282">
        <v>93.278384267000007</v>
      </c>
      <c r="AS38" s="282">
        <v>112.519762607</v>
      </c>
      <c r="AT38" s="282">
        <v>117.689811565</v>
      </c>
      <c r="AU38" s="282">
        <v>51.942955620500001</v>
      </c>
      <c r="AV38" s="282">
        <v>55.794443456699994</v>
      </c>
      <c r="AW38" s="282">
        <v>68.857811685900003</v>
      </c>
      <c r="AX38" s="282">
        <v>91.169257995999999</v>
      </c>
      <c r="AY38" s="282">
        <v>116.622630206</v>
      </c>
      <c r="AZ38" s="282">
        <v>131.34352764300002</v>
      </c>
      <c r="BA38" s="282">
        <v>123.91719103700001</v>
      </c>
      <c r="BB38" s="282">
        <v>101.139940028</v>
      </c>
      <c r="BC38" s="282">
        <v>99.998516206000005</v>
      </c>
      <c r="BD38" s="282">
        <v>102.806436721</v>
      </c>
      <c r="BE38" s="282">
        <v>59.192799995999998</v>
      </c>
      <c r="BF38" s="282">
        <v>66.543303171000005</v>
      </c>
      <c r="BG38" s="282">
        <v>49.227350332599997</v>
      </c>
      <c r="BH38" s="282">
        <v>29.721658576700001</v>
      </c>
      <c r="BI38" s="282">
        <v>6.0529295212999994</v>
      </c>
      <c r="BJ38" s="283">
        <v>3.0415478846999999</v>
      </c>
    </row>
    <row r="39" spans="1:62">
      <c r="A39" s="1383"/>
      <c r="B39" s="252" t="s">
        <v>154</v>
      </c>
      <c r="C39" s="255">
        <v>87</v>
      </c>
      <c r="D39" s="255">
        <v>99</v>
      </c>
      <c r="E39" s="255">
        <v>76</v>
      </c>
      <c r="F39" s="255">
        <v>96</v>
      </c>
      <c r="G39" s="255">
        <v>47</v>
      </c>
      <c r="H39" s="255">
        <v>74</v>
      </c>
      <c r="I39" s="255">
        <v>103</v>
      </c>
      <c r="J39" s="255">
        <v>110</v>
      </c>
      <c r="K39" s="255">
        <v>124</v>
      </c>
      <c r="L39" s="255">
        <v>113</v>
      </c>
      <c r="M39" s="255">
        <v>116</v>
      </c>
      <c r="N39" s="255">
        <v>95</v>
      </c>
      <c r="O39" s="255">
        <v>74</v>
      </c>
      <c r="P39" s="255">
        <v>84</v>
      </c>
      <c r="Q39" s="255">
        <v>56</v>
      </c>
      <c r="R39" s="255">
        <v>61</v>
      </c>
      <c r="S39" s="255">
        <v>39</v>
      </c>
      <c r="T39" s="255">
        <v>28</v>
      </c>
      <c r="U39" s="255">
        <v>21</v>
      </c>
      <c r="V39" s="262">
        <v>8</v>
      </c>
      <c r="W39" s="272">
        <v>76.136775999999998</v>
      </c>
      <c r="X39" s="255">
        <v>115.00376600000001</v>
      </c>
      <c r="Y39" s="255">
        <v>116.11090300000001</v>
      </c>
      <c r="Z39" s="255">
        <v>83.082077999999996</v>
      </c>
      <c r="AA39" s="255">
        <v>68.892698999999993</v>
      </c>
      <c r="AB39" s="255">
        <v>77.237090999999992</v>
      </c>
      <c r="AC39" s="255">
        <v>85.867318000000012</v>
      </c>
      <c r="AD39" s="255">
        <v>110.495418</v>
      </c>
      <c r="AE39" s="255">
        <v>133.71556099999998</v>
      </c>
      <c r="AF39" s="255">
        <v>122.043646</v>
      </c>
      <c r="AG39" s="255">
        <v>108.51616299999999</v>
      </c>
      <c r="AH39" s="255">
        <v>115.283681</v>
      </c>
      <c r="AI39" s="255">
        <v>126.59847599999999</v>
      </c>
      <c r="AJ39" s="255">
        <v>67.542513</v>
      </c>
      <c r="AK39" s="255">
        <v>75.710324</v>
      </c>
      <c r="AL39" s="255">
        <v>70.530702000000005</v>
      </c>
      <c r="AM39" s="255">
        <v>54.157519000000001</v>
      </c>
      <c r="AN39" s="255">
        <v>44.596914999999996</v>
      </c>
      <c r="AO39" s="255">
        <v>21.298503</v>
      </c>
      <c r="AP39" s="273">
        <v>12.138389000000002</v>
      </c>
      <c r="AQ39" s="284">
        <v>95.213404010000005</v>
      </c>
      <c r="AR39" s="285">
        <v>83.881422221000008</v>
      </c>
      <c r="AS39" s="285">
        <v>97.755353647300012</v>
      </c>
      <c r="AT39" s="285">
        <v>102.19480339900001</v>
      </c>
      <c r="AU39" s="285">
        <v>46.742348573000001</v>
      </c>
      <c r="AV39" s="285">
        <v>53.213624151399998</v>
      </c>
      <c r="AW39" s="285">
        <v>73.493816162000002</v>
      </c>
      <c r="AX39" s="285">
        <v>87.233481984000008</v>
      </c>
      <c r="AY39" s="285">
        <v>110.20315129700001</v>
      </c>
      <c r="AZ39" s="285">
        <v>149.295326692</v>
      </c>
      <c r="BA39" s="285">
        <v>124.51264143899999</v>
      </c>
      <c r="BB39" s="285">
        <v>102.46138919500001</v>
      </c>
      <c r="BC39" s="285">
        <v>113.564007793</v>
      </c>
      <c r="BD39" s="285">
        <v>114.46145555000001</v>
      </c>
      <c r="BE39" s="285">
        <v>60.660255276800008</v>
      </c>
      <c r="BF39" s="285">
        <v>68.677740987000007</v>
      </c>
      <c r="BG39" s="285">
        <v>58.554859847199992</v>
      </c>
      <c r="BH39" s="285">
        <v>49.214317098100004</v>
      </c>
      <c r="BI39" s="285">
        <v>32.426060617399997</v>
      </c>
      <c r="BJ39" s="286">
        <v>13.0941116674</v>
      </c>
    </row>
    <row r="40" spans="1:62" ht="14.4" thickBot="1">
      <c r="A40" s="1382" t="s">
        <v>3</v>
      </c>
      <c r="B40" s="250" t="s">
        <v>180</v>
      </c>
      <c r="C40" s="251">
        <v>369</v>
      </c>
      <c r="D40" s="251">
        <v>465</v>
      </c>
      <c r="E40" s="251">
        <v>570</v>
      </c>
      <c r="F40" s="251">
        <v>549</v>
      </c>
      <c r="G40" s="251">
        <v>353</v>
      </c>
      <c r="H40" s="251">
        <v>355</v>
      </c>
      <c r="I40" s="251">
        <v>381</v>
      </c>
      <c r="J40" s="251">
        <v>478</v>
      </c>
      <c r="K40" s="251">
        <v>622</v>
      </c>
      <c r="L40" s="251">
        <v>596</v>
      </c>
      <c r="M40" s="251">
        <v>513</v>
      </c>
      <c r="N40" s="251">
        <v>361</v>
      </c>
      <c r="O40" s="251">
        <v>339</v>
      </c>
      <c r="P40" s="251">
        <v>337</v>
      </c>
      <c r="Q40" s="251">
        <v>244</v>
      </c>
      <c r="R40" s="251">
        <v>193</v>
      </c>
      <c r="S40" s="251">
        <v>69</v>
      </c>
      <c r="T40" s="251">
        <v>57</v>
      </c>
      <c r="U40" s="251">
        <v>12</v>
      </c>
      <c r="V40" s="259">
        <v>0</v>
      </c>
      <c r="W40" s="266">
        <v>361.979063</v>
      </c>
      <c r="X40" s="251">
        <v>360.56989399999998</v>
      </c>
      <c r="Y40" s="251">
        <v>416.22790900000001</v>
      </c>
      <c r="Z40" s="251">
        <v>467.94725599999998</v>
      </c>
      <c r="AA40" s="251">
        <v>333.24678000000006</v>
      </c>
      <c r="AB40" s="251">
        <v>251.17436999999998</v>
      </c>
      <c r="AC40" s="251">
        <v>286.99288100000001</v>
      </c>
      <c r="AD40" s="251">
        <v>401.72812799999997</v>
      </c>
      <c r="AE40" s="251">
        <v>452.79945199999997</v>
      </c>
      <c r="AF40" s="251">
        <v>491.027536</v>
      </c>
      <c r="AG40" s="251">
        <v>602.35957900000005</v>
      </c>
      <c r="AH40" s="251">
        <v>512.86067000000003</v>
      </c>
      <c r="AI40" s="251">
        <v>562.35123499999997</v>
      </c>
      <c r="AJ40" s="251">
        <v>264.81679199999996</v>
      </c>
      <c r="AK40" s="251">
        <v>267.13015000000001</v>
      </c>
      <c r="AL40" s="251">
        <v>280.10952799999995</v>
      </c>
      <c r="AM40" s="251">
        <v>163.31467900000001</v>
      </c>
      <c r="AN40" s="251">
        <v>90.121104000000003</v>
      </c>
      <c r="AO40" s="251">
        <v>22.616577000000003</v>
      </c>
      <c r="AP40" s="267">
        <v>5.0332750000000006</v>
      </c>
      <c r="AQ40" s="266">
        <v>338.11155549399996</v>
      </c>
      <c r="AR40" s="251">
        <v>485.60811455299995</v>
      </c>
      <c r="AS40" s="251">
        <v>445.61775176700007</v>
      </c>
      <c r="AT40" s="251">
        <v>452.001721272</v>
      </c>
      <c r="AU40" s="251">
        <v>280.29267281900002</v>
      </c>
      <c r="AV40" s="251">
        <v>304.64540931899995</v>
      </c>
      <c r="AW40" s="251">
        <v>311.79467383299999</v>
      </c>
      <c r="AX40" s="251">
        <v>338.835721009</v>
      </c>
      <c r="AY40" s="251">
        <v>473.55551076799998</v>
      </c>
      <c r="AZ40" s="251">
        <v>571.81583403000002</v>
      </c>
      <c r="BA40" s="251">
        <v>497.262125024</v>
      </c>
      <c r="BB40" s="251">
        <v>622.97384861099999</v>
      </c>
      <c r="BC40" s="251">
        <v>486.01332691099998</v>
      </c>
      <c r="BD40" s="251">
        <v>477.25911483299996</v>
      </c>
      <c r="BE40" s="251">
        <v>347.58381678399996</v>
      </c>
      <c r="BF40" s="251">
        <v>257.93045189899999</v>
      </c>
      <c r="BG40" s="251">
        <v>244.942740515</v>
      </c>
      <c r="BH40" s="251">
        <v>102.54262192870002</v>
      </c>
      <c r="BI40" s="251">
        <v>35.015334373400002</v>
      </c>
      <c r="BJ40" s="267">
        <v>10.5036507625</v>
      </c>
    </row>
    <row r="41" spans="1:62">
      <c r="A41" s="1383"/>
      <c r="B41" s="252" t="s">
        <v>181</v>
      </c>
      <c r="C41" s="253">
        <v>371</v>
      </c>
      <c r="D41" s="253">
        <v>453</v>
      </c>
      <c r="E41" s="253">
        <v>564</v>
      </c>
      <c r="F41" s="253">
        <v>559</v>
      </c>
      <c r="G41" s="253">
        <v>373</v>
      </c>
      <c r="H41" s="253">
        <v>327</v>
      </c>
      <c r="I41" s="253">
        <v>399</v>
      </c>
      <c r="J41" s="253">
        <v>564</v>
      </c>
      <c r="K41" s="253">
        <v>665</v>
      </c>
      <c r="L41" s="253">
        <v>642</v>
      </c>
      <c r="M41" s="253">
        <v>540</v>
      </c>
      <c r="N41" s="253">
        <v>354</v>
      </c>
      <c r="O41" s="253">
        <v>356</v>
      </c>
      <c r="P41" s="253">
        <v>347</v>
      </c>
      <c r="Q41" s="253">
        <v>287</v>
      </c>
      <c r="R41" s="253">
        <v>224</v>
      </c>
      <c r="S41" s="253">
        <v>92</v>
      </c>
      <c r="T41" s="253">
        <v>78</v>
      </c>
      <c r="U41" s="253">
        <v>28</v>
      </c>
      <c r="V41" s="260">
        <v>8</v>
      </c>
      <c r="W41" s="268">
        <v>336.34437500000001</v>
      </c>
      <c r="X41" s="253">
        <v>422.43567099999996</v>
      </c>
      <c r="Y41" s="253">
        <v>476.20058799999998</v>
      </c>
      <c r="Z41" s="253">
        <v>491.13376800000003</v>
      </c>
      <c r="AA41" s="253">
        <v>378.35402899999997</v>
      </c>
      <c r="AB41" s="253">
        <v>261.77832999999998</v>
      </c>
      <c r="AC41" s="253">
        <v>328.495835</v>
      </c>
      <c r="AD41" s="253">
        <v>400.93059800000003</v>
      </c>
      <c r="AE41" s="253">
        <v>482.35647600000004</v>
      </c>
      <c r="AF41" s="253">
        <v>583.73345100000006</v>
      </c>
      <c r="AG41" s="253">
        <v>660.72260999999992</v>
      </c>
      <c r="AH41" s="253">
        <v>574.93955400000004</v>
      </c>
      <c r="AI41" s="253">
        <v>522.243923</v>
      </c>
      <c r="AJ41" s="253">
        <v>315.96523100000002</v>
      </c>
      <c r="AK41" s="253">
        <v>326.17101899999994</v>
      </c>
      <c r="AL41" s="253">
        <v>305.58552399999996</v>
      </c>
      <c r="AM41" s="253">
        <v>268.34198600000002</v>
      </c>
      <c r="AN41" s="253">
        <v>133.496129</v>
      </c>
      <c r="AO41" s="253">
        <v>60.156171999999998</v>
      </c>
      <c r="AP41" s="269">
        <v>23.207882000000001</v>
      </c>
      <c r="AQ41" s="268">
        <v>270.53371233600001</v>
      </c>
      <c r="AR41" s="253">
        <v>392.34528344</v>
      </c>
      <c r="AS41" s="253">
        <v>497.61886683200004</v>
      </c>
      <c r="AT41" s="253">
        <v>445.63822392099996</v>
      </c>
      <c r="AU41" s="253">
        <v>277.89495876700005</v>
      </c>
      <c r="AV41" s="253">
        <v>304.49942169600001</v>
      </c>
      <c r="AW41" s="253">
        <v>306.21006253799999</v>
      </c>
      <c r="AX41" s="253">
        <v>444.15767955499996</v>
      </c>
      <c r="AY41" s="253">
        <v>542.43711828400001</v>
      </c>
      <c r="AZ41" s="253">
        <v>609.03680003800002</v>
      </c>
      <c r="BA41" s="253">
        <v>582.50409576000004</v>
      </c>
      <c r="BB41" s="253">
        <v>630.83933730000001</v>
      </c>
      <c r="BC41" s="253">
        <v>637.760348325</v>
      </c>
      <c r="BD41" s="253">
        <v>516.95240570599992</v>
      </c>
      <c r="BE41" s="253">
        <v>389.07909409900003</v>
      </c>
      <c r="BF41" s="253">
        <v>364.34848282000002</v>
      </c>
      <c r="BG41" s="253">
        <v>304.60430022999998</v>
      </c>
      <c r="BH41" s="253">
        <v>226.94673353300001</v>
      </c>
      <c r="BI41" s="253">
        <v>97.690602829500008</v>
      </c>
      <c r="BJ41" s="269">
        <v>28.5964754799</v>
      </c>
    </row>
    <row r="42" spans="1:62" ht="14.4" thickBot="1">
      <c r="A42" s="1382" t="s">
        <v>4</v>
      </c>
      <c r="B42" s="250" t="s">
        <v>182</v>
      </c>
      <c r="C42" s="254">
        <v>411</v>
      </c>
      <c r="D42" s="254">
        <v>436</v>
      </c>
      <c r="E42" s="254">
        <v>524</v>
      </c>
      <c r="F42" s="254">
        <v>536</v>
      </c>
      <c r="G42" s="254">
        <v>442</v>
      </c>
      <c r="H42" s="254">
        <v>528</v>
      </c>
      <c r="I42" s="254">
        <v>475</v>
      </c>
      <c r="J42" s="254">
        <v>470</v>
      </c>
      <c r="K42" s="254">
        <v>555</v>
      </c>
      <c r="L42" s="254">
        <v>626</v>
      </c>
      <c r="M42" s="254">
        <v>548</v>
      </c>
      <c r="N42" s="254">
        <v>392</v>
      </c>
      <c r="O42" s="254">
        <v>337</v>
      </c>
      <c r="P42" s="254">
        <v>304</v>
      </c>
      <c r="Q42" s="254">
        <v>357</v>
      </c>
      <c r="R42" s="254">
        <v>284</v>
      </c>
      <c r="S42" s="254">
        <v>113</v>
      </c>
      <c r="T42" s="254">
        <v>82</v>
      </c>
      <c r="U42" s="254">
        <v>26</v>
      </c>
      <c r="V42" s="261">
        <v>6</v>
      </c>
      <c r="W42" s="270">
        <v>337.41502200000002</v>
      </c>
      <c r="X42" s="254">
        <v>376.27726499999994</v>
      </c>
      <c r="Y42" s="254">
        <v>435.95526300000006</v>
      </c>
      <c r="Z42" s="254">
        <v>474.92264600000004</v>
      </c>
      <c r="AA42" s="254">
        <v>497.435022</v>
      </c>
      <c r="AB42" s="254">
        <v>455.99137899999999</v>
      </c>
      <c r="AC42" s="254">
        <v>397.64250599999997</v>
      </c>
      <c r="AD42" s="254">
        <v>418.53176000000008</v>
      </c>
      <c r="AE42" s="254">
        <v>489.58962700000001</v>
      </c>
      <c r="AF42" s="254">
        <v>467.30343700000003</v>
      </c>
      <c r="AG42" s="254">
        <v>501.03785899999997</v>
      </c>
      <c r="AH42" s="254">
        <v>657.14889900000003</v>
      </c>
      <c r="AI42" s="254">
        <v>552.03621199999998</v>
      </c>
      <c r="AJ42" s="254">
        <v>338.47705300000001</v>
      </c>
      <c r="AK42" s="254">
        <v>344.66317300000003</v>
      </c>
      <c r="AL42" s="254">
        <v>269.83008100000001</v>
      </c>
      <c r="AM42" s="254">
        <v>234.71775099999999</v>
      </c>
      <c r="AN42" s="254">
        <v>123.40457600000001</v>
      </c>
      <c r="AO42" s="254">
        <v>43.117347000000002</v>
      </c>
      <c r="AP42" s="271">
        <v>8.5801970000000001</v>
      </c>
      <c r="AQ42" s="281">
        <v>303.486526148</v>
      </c>
      <c r="AR42" s="282">
        <v>347.91311557300003</v>
      </c>
      <c r="AS42" s="282">
        <v>393.87364421299998</v>
      </c>
      <c r="AT42" s="282">
        <v>425.09063098299998</v>
      </c>
      <c r="AU42" s="282">
        <v>356.338481156</v>
      </c>
      <c r="AV42" s="282">
        <v>419.42459588899999</v>
      </c>
      <c r="AW42" s="282">
        <v>373.93612679900002</v>
      </c>
      <c r="AX42" s="282">
        <v>337.17387234</v>
      </c>
      <c r="AY42" s="282">
        <v>411.30506981899998</v>
      </c>
      <c r="AZ42" s="282">
        <v>499.10761400300004</v>
      </c>
      <c r="BA42" s="282">
        <v>515.93026537900005</v>
      </c>
      <c r="BB42" s="282">
        <v>509.34556031599993</v>
      </c>
      <c r="BC42" s="282">
        <v>601.77773365999997</v>
      </c>
      <c r="BD42" s="282">
        <v>538.70192306800004</v>
      </c>
      <c r="BE42" s="282">
        <v>382.13743429499999</v>
      </c>
      <c r="BF42" s="282">
        <v>290.01767048699998</v>
      </c>
      <c r="BG42" s="282">
        <v>229.52703843800003</v>
      </c>
      <c r="BH42" s="282">
        <v>174.87336994099999</v>
      </c>
      <c r="BI42" s="282">
        <v>78.772561078899997</v>
      </c>
      <c r="BJ42" s="283">
        <v>15.342715668499999</v>
      </c>
    </row>
    <row r="43" spans="1:62">
      <c r="A43" s="1383"/>
      <c r="B43" s="252" t="s">
        <v>183</v>
      </c>
      <c r="C43" s="255">
        <v>351</v>
      </c>
      <c r="D43" s="255">
        <v>432</v>
      </c>
      <c r="E43" s="255">
        <v>471</v>
      </c>
      <c r="F43" s="255">
        <v>614</v>
      </c>
      <c r="G43" s="255">
        <v>520</v>
      </c>
      <c r="H43" s="255">
        <v>550</v>
      </c>
      <c r="I43" s="255">
        <v>503</v>
      </c>
      <c r="J43" s="255">
        <v>553</v>
      </c>
      <c r="K43" s="255">
        <v>643</v>
      </c>
      <c r="L43" s="255">
        <v>688</v>
      </c>
      <c r="M43" s="255">
        <v>632</v>
      </c>
      <c r="N43" s="255">
        <v>470</v>
      </c>
      <c r="O43" s="255">
        <v>395</v>
      </c>
      <c r="P43" s="255">
        <v>403</v>
      </c>
      <c r="Q43" s="255">
        <v>488</v>
      </c>
      <c r="R43" s="255">
        <v>443</v>
      </c>
      <c r="S43" s="255">
        <v>185</v>
      </c>
      <c r="T43" s="255">
        <v>195</v>
      </c>
      <c r="U43" s="255">
        <v>89</v>
      </c>
      <c r="V43" s="262">
        <v>19</v>
      </c>
      <c r="W43" s="272">
        <v>310.66438999999997</v>
      </c>
      <c r="X43" s="255">
        <v>419.70770200000004</v>
      </c>
      <c r="Y43" s="255">
        <v>368.60593299999999</v>
      </c>
      <c r="Z43" s="255">
        <v>415.09980899999999</v>
      </c>
      <c r="AA43" s="255">
        <v>524.07377499999996</v>
      </c>
      <c r="AB43" s="255">
        <v>447.71012100000002</v>
      </c>
      <c r="AC43" s="255">
        <v>417.16078999999996</v>
      </c>
      <c r="AD43" s="255">
        <v>436.06570500000004</v>
      </c>
      <c r="AE43" s="255">
        <v>530.70713599999999</v>
      </c>
      <c r="AF43" s="255">
        <v>575.78246399999989</v>
      </c>
      <c r="AG43" s="255">
        <v>626.88988199999994</v>
      </c>
      <c r="AH43" s="255">
        <v>685.19300199999998</v>
      </c>
      <c r="AI43" s="255">
        <v>723.46651599999996</v>
      </c>
      <c r="AJ43" s="255">
        <v>458.059485</v>
      </c>
      <c r="AK43" s="255">
        <v>437.682502</v>
      </c>
      <c r="AL43" s="255">
        <v>427.48767599999996</v>
      </c>
      <c r="AM43" s="255">
        <v>402.37749600000001</v>
      </c>
      <c r="AN43" s="255">
        <v>320.93320199999999</v>
      </c>
      <c r="AO43" s="255">
        <v>76.922621000000007</v>
      </c>
      <c r="AP43" s="273">
        <v>43.332720999999999</v>
      </c>
      <c r="AQ43" s="284">
        <v>330.77541084200004</v>
      </c>
      <c r="AR43" s="285">
        <v>371.20596795500001</v>
      </c>
      <c r="AS43" s="285">
        <v>437.07341343499996</v>
      </c>
      <c r="AT43" s="285">
        <v>515.06398013599994</v>
      </c>
      <c r="AU43" s="285">
        <v>414.09310499599997</v>
      </c>
      <c r="AV43" s="285">
        <v>383.181591481</v>
      </c>
      <c r="AW43" s="285">
        <v>329.26965437300004</v>
      </c>
      <c r="AX43" s="285">
        <v>389.13491704099999</v>
      </c>
      <c r="AY43" s="285">
        <v>462.99858375500003</v>
      </c>
      <c r="AZ43" s="285">
        <v>609.15600337699993</v>
      </c>
      <c r="BA43" s="285">
        <v>564.25571145599997</v>
      </c>
      <c r="BB43" s="285">
        <v>624.8357340099999</v>
      </c>
      <c r="BC43" s="285">
        <v>673.56453727000007</v>
      </c>
      <c r="BD43" s="285">
        <v>720.59762273000013</v>
      </c>
      <c r="BE43" s="285">
        <v>477.14182876400002</v>
      </c>
      <c r="BF43" s="285">
        <v>503.76528717200006</v>
      </c>
      <c r="BG43" s="285">
        <v>367.49143439299996</v>
      </c>
      <c r="BH43" s="285">
        <v>308.09899222600001</v>
      </c>
      <c r="BI43" s="285">
        <v>188.353043748</v>
      </c>
      <c r="BJ43" s="286">
        <v>36.867231574799995</v>
      </c>
    </row>
    <row r="44" spans="1:62" ht="14.4" thickBot="1">
      <c r="A44" s="1382" t="s">
        <v>5</v>
      </c>
      <c r="B44" s="250" t="s">
        <v>184</v>
      </c>
      <c r="C44" s="251">
        <v>448</v>
      </c>
      <c r="D44" s="251">
        <v>431</v>
      </c>
      <c r="E44" s="251">
        <v>529</v>
      </c>
      <c r="F44" s="251">
        <v>586</v>
      </c>
      <c r="G44" s="251">
        <v>560</v>
      </c>
      <c r="H44" s="251">
        <v>604</v>
      </c>
      <c r="I44" s="251">
        <v>516</v>
      </c>
      <c r="J44" s="251">
        <v>521</v>
      </c>
      <c r="K44" s="251">
        <v>502</v>
      </c>
      <c r="L44" s="251">
        <v>635</v>
      </c>
      <c r="M44" s="251">
        <v>498</v>
      </c>
      <c r="N44" s="251">
        <v>401</v>
      </c>
      <c r="O44" s="251">
        <v>355</v>
      </c>
      <c r="P44" s="251">
        <v>345</v>
      </c>
      <c r="Q44" s="251">
        <v>275</v>
      </c>
      <c r="R44" s="251">
        <v>244</v>
      </c>
      <c r="S44" s="251">
        <v>95</v>
      </c>
      <c r="T44" s="251">
        <v>84</v>
      </c>
      <c r="U44" s="251">
        <v>16</v>
      </c>
      <c r="V44" s="259">
        <v>1</v>
      </c>
      <c r="W44" s="266">
        <v>597.67227100000002</v>
      </c>
      <c r="X44" s="251">
        <v>486.32990899999999</v>
      </c>
      <c r="Y44" s="251">
        <v>420.04333700000001</v>
      </c>
      <c r="Z44" s="251">
        <v>519.35869700000001</v>
      </c>
      <c r="AA44" s="251">
        <v>468.480434</v>
      </c>
      <c r="AB44" s="251">
        <v>440.34953199999995</v>
      </c>
      <c r="AC44" s="251">
        <v>429.55504200000001</v>
      </c>
      <c r="AD44" s="251">
        <v>427.16144600000001</v>
      </c>
      <c r="AE44" s="251">
        <v>450.63839400000001</v>
      </c>
      <c r="AF44" s="251">
        <v>480.58244499999995</v>
      </c>
      <c r="AG44" s="251">
        <v>542.61411999999996</v>
      </c>
      <c r="AH44" s="251">
        <v>439.99957599999993</v>
      </c>
      <c r="AI44" s="251">
        <v>453.46247299999999</v>
      </c>
      <c r="AJ44" s="251">
        <v>329.84653100000003</v>
      </c>
      <c r="AK44" s="251">
        <v>267.33220699999998</v>
      </c>
      <c r="AL44" s="251">
        <v>249.68051399999999</v>
      </c>
      <c r="AM44" s="251">
        <v>134.001789</v>
      </c>
      <c r="AN44" s="251">
        <v>128.85429200000002</v>
      </c>
      <c r="AO44" s="251">
        <v>14.589205999999999</v>
      </c>
      <c r="AP44" s="267">
        <v>0</v>
      </c>
      <c r="AQ44" s="266">
        <v>582.19345362700005</v>
      </c>
      <c r="AR44" s="251">
        <v>520.044319524</v>
      </c>
      <c r="AS44" s="251">
        <v>484.14840252300002</v>
      </c>
      <c r="AT44" s="251">
        <v>490.74895969900001</v>
      </c>
      <c r="AU44" s="251">
        <v>395.94141584800002</v>
      </c>
      <c r="AV44" s="251">
        <v>446.389320097</v>
      </c>
      <c r="AW44" s="251">
        <v>509.14680743899999</v>
      </c>
      <c r="AX44" s="251">
        <v>476.61231757299993</v>
      </c>
      <c r="AY44" s="251">
        <v>505.88854907799998</v>
      </c>
      <c r="AZ44" s="251">
        <v>462.40950181299996</v>
      </c>
      <c r="BA44" s="251">
        <v>390.09923878299998</v>
      </c>
      <c r="BB44" s="251">
        <v>410.42503276899998</v>
      </c>
      <c r="BC44" s="251">
        <v>458.09343177199997</v>
      </c>
      <c r="BD44" s="251">
        <v>391.77445539500002</v>
      </c>
      <c r="BE44" s="251">
        <v>325.46646732099998</v>
      </c>
      <c r="BF44" s="251">
        <v>241.19450041300001</v>
      </c>
      <c r="BG44" s="251">
        <v>167.53890894899999</v>
      </c>
      <c r="BH44" s="251">
        <v>95.750590863999989</v>
      </c>
      <c r="BI44" s="251">
        <v>61.8146347805</v>
      </c>
      <c r="BJ44" s="267">
        <v>4.1598235608999996</v>
      </c>
    </row>
    <row r="45" spans="1:62">
      <c r="A45" s="1383"/>
      <c r="B45" s="252" t="s">
        <v>185</v>
      </c>
      <c r="C45" s="253">
        <v>431</v>
      </c>
      <c r="D45" s="253">
        <v>449</v>
      </c>
      <c r="E45" s="253">
        <v>503</v>
      </c>
      <c r="F45" s="253">
        <v>578</v>
      </c>
      <c r="G45" s="253">
        <v>489</v>
      </c>
      <c r="H45" s="253">
        <v>557</v>
      </c>
      <c r="I45" s="253">
        <v>525</v>
      </c>
      <c r="J45" s="253">
        <v>500</v>
      </c>
      <c r="K45" s="253">
        <v>570</v>
      </c>
      <c r="L45" s="253">
        <v>621</v>
      </c>
      <c r="M45" s="253">
        <v>570</v>
      </c>
      <c r="N45" s="253">
        <v>374</v>
      </c>
      <c r="O45" s="253">
        <v>386</v>
      </c>
      <c r="P45" s="253">
        <v>412</v>
      </c>
      <c r="Q45" s="253">
        <v>437</v>
      </c>
      <c r="R45" s="253">
        <v>361</v>
      </c>
      <c r="S45" s="253">
        <v>163</v>
      </c>
      <c r="T45" s="253">
        <v>129</v>
      </c>
      <c r="U45" s="253">
        <v>43</v>
      </c>
      <c r="V45" s="260">
        <v>13</v>
      </c>
      <c r="W45" s="268">
        <v>443.82229899999999</v>
      </c>
      <c r="X45" s="253">
        <v>449.91294200000004</v>
      </c>
      <c r="Y45" s="253">
        <v>446.64191500000004</v>
      </c>
      <c r="Z45" s="253">
        <v>420.781654</v>
      </c>
      <c r="AA45" s="253">
        <v>392.81280800000002</v>
      </c>
      <c r="AB45" s="253">
        <v>405.93818699999997</v>
      </c>
      <c r="AC45" s="253">
        <v>466.22229400000003</v>
      </c>
      <c r="AD45" s="253">
        <v>474.976721</v>
      </c>
      <c r="AE45" s="253">
        <v>493.45668599999999</v>
      </c>
      <c r="AF45" s="253">
        <v>499.41047700000001</v>
      </c>
      <c r="AG45" s="253">
        <v>604.969607</v>
      </c>
      <c r="AH45" s="253">
        <v>548.14570400000002</v>
      </c>
      <c r="AI45" s="253">
        <v>494.513284</v>
      </c>
      <c r="AJ45" s="253">
        <v>380.59890299999995</v>
      </c>
      <c r="AK45" s="253">
        <v>364.93187</v>
      </c>
      <c r="AL45" s="253">
        <v>386.79394899999994</v>
      </c>
      <c r="AM45" s="253">
        <v>365.61869899999999</v>
      </c>
      <c r="AN45" s="253">
        <v>211.45380400000002</v>
      </c>
      <c r="AO45" s="253">
        <v>73.715107000000003</v>
      </c>
      <c r="AP45" s="269">
        <v>21.730881999999998</v>
      </c>
      <c r="AQ45" s="268">
        <v>484.68601636400001</v>
      </c>
      <c r="AR45" s="253">
        <v>542.18070506399999</v>
      </c>
      <c r="AS45" s="253">
        <v>540.87506397599998</v>
      </c>
      <c r="AT45" s="253">
        <v>418.43158863100001</v>
      </c>
      <c r="AU45" s="253">
        <v>527.25197703599997</v>
      </c>
      <c r="AV45" s="253">
        <v>491.26032896099997</v>
      </c>
      <c r="AW45" s="253">
        <v>471.42347178300002</v>
      </c>
      <c r="AX45" s="253">
        <v>471.92348506500002</v>
      </c>
      <c r="AY45" s="253">
        <v>516.59726126499993</v>
      </c>
      <c r="AZ45" s="253">
        <v>439.25270503000002</v>
      </c>
      <c r="BA45" s="253">
        <v>544.21994355599998</v>
      </c>
      <c r="BB45" s="253">
        <v>478.69568430999999</v>
      </c>
      <c r="BC45" s="253">
        <v>563.00062097399996</v>
      </c>
      <c r="BD45" s="253">
        <v>559.79904807300011</v>
      </c>
      <c r="BE45" s="253">
        <v>357.88450641499998</v>
      </c>
      <c r="BF45" s="253">
        <v>266.58839237199999</v>
      </c>
      <c r="BG45" s="253">
        <v>317.33133214499998</v>
      </c>
      <c r="BH45" s="253">
        <v>213.85721363800002</v>
      </c>
      <c r="BI45" s="253">
        <v>89.145484695999997</v>
      </c>
      <c r="BJ45" s="269">
        <v>30.755038800100003</v>
      </c>
    </row>
    <row r="46" spans="1:62" ht="14.4" thickBot="1">
      <c r="A46" s="1382" t="s">
        <v>0</v>
      </c>
      <c r="B46" s="250" t="s">
        <v>127</v>
      </c>
      <c r="C46" s="254">
        <v>3498</v>
      </c>
      <c r="D46" s="254">
        <v>3089</v>
      </c>
      <c r="E46" s="254">
        <v>3189</v>
      </c>
      <c r="F46" s="254">
        <v>4559</v>
      </c>
      <c r="G46" s="254">
        <v>7307</v>
      </c>
      <c r="H46" s="254">
        <v>6653</v>
      </c>
      <c r="I46" s="254">
        <v>4725</v>
      </c>
      <c r="J46" s="254">
        <v>3741</v>
      </c>
      <c r="K46" s="254">
        <v>3674</v>
      </c>
      <c r="L46" s="254">
        <v>3627</v>
      </c>
      <c r="M46" s="254">
        <v>3247</v>
      </c>
      <c r="N46" s="254">
        <v>2348</v>
      </c>
      <c r="O46" s="254">
        <v>2309</v>
      </c>
      <c r="P46" s="254">
        <v>2320</v>
      </c>
      <c r="Q46" s="254">
        <v>2004</v>
      </c>
      <c r="R46" s="254">
        <v>1848</v>
      </c>
      <c r="S46" s="254">
        <v>882</v>
      </c>
      <c r="T46" s="254">
        <v>717</v>
      </c>
      <c r="U46" s="254">
        <v>220</v>
      </c>
      <c r="V46" s="261">
        <v>38</v>
      </c>
      <c r="W46" s="270">
        <v>3710.2375550000002</v>
      </c>
      <c r="X46" s="254">
        <v>3072.9429969999997</v>
      </c>
      <c r="Y46" s="254">
        <v>2998.2260080000001</v>
      </c>
      <c r="Z46" s="254">
        <v>5356.8229869999996</v>
      </c>
      <c r="AA46" s="254">
        <v>7854.4992380000003</v>
      </c>
      <c r="AB46" s="254">
        <v>5832.6177429999998</v>
      </c>
      <c r="AC46" s="254">
        <v>4530.8686950000001</v>
      </c>
      <c r="AD46" s="254">
        <v>3804.4607470000001</v>
      </c>
      <c r="AE46" s="254">
        <v>3717.7913699999999</v>
      </c>
      <c r="AF46" s="254">
        <v>3445.4710420000001</v>
      </c>
      <c r="AG46" s="254">
        <v>3373.5767459999997</v>
      </c>
      <c r="AH46" s="254">
        <v>3145.6409800000001</v>
      </c>
      <c r="AI46" s="254">
        <v>2666.4001159999998</v>
      </c>
      <c r="AJ46" s="254">
        <v>1946.0282689999999</v>
      </c>
      <c r="AK46" s="254">
        <v>1857.7576589999999</v>
      </c>
      <c r="AL46" s="254">
        <v>1940.3871010000003</v>
      </c>
      <c r="AM46" s="254">
        <v>1408.0055710000001</v>
      </c>
      <c r="AN46" s="254">
        <v>861.57568499999991</v>
      </c>
      <c r="AO46" s="254">
        <v>287.71542499999998</v>
      </c>
      <c r="AP46" s="271">
        <v>85.919276999999994</v>
      </c>
      <c r="AQ46" s="281">
        <v>3673.1498715200005</v>
      </c>
      <c r="AR46" s="282">
        <v>3136.27787197</v>
      </c>
      <c r="AS46" s="282">
        <v>3213.5843771599998</v>
      </c>
      <c r="AT46" s="282">
        <v>5304.4144601600001</v>
      </c>
      <c r="AU46" s="282">
        <v>7401.0699607999995</v>
      </c>
      <c r="AV46" s="282">
        <v>5754.9653729000001</v>
      </c>
      <c r="AW46" s="282">
        <v>4605.1088363500003</v>
      </c>
      <c r="AX46" s="282">
        <v>3849.6702537699998</v>
      </c>
      <c r="AY46" s="282">
        <v>3806.6032364399998</v>
      </c>
      <c r="AZ46" s="282">
        <v>3598.8340777599997</v>
      </c>
      <c r="BA46" s="282">
        <v>3378.6839583400001</v>
      </c>
      <c r="BB46" s="282">
        <v>3153.1483447999999</v>
      </c>
      <c r="BC46" s="282">
        <v>2900.9127888399998</v>
      </c>
      <c r="BD46" s="282">
        <v>2505.2037478899997</v>
      </c>
      <c r="BE46" s="282">
        <v>1736.9159375899999</v>
      </c>
      <c r="BF46" s="282">
        <v>1718.88460158</v>
      </c>
      <c r="BG46" s="282">
        <v>1543.2524183</v>
      </c>
      <c r="BH46" s="282">
        <v>1029.43780655</v>
      </c>
      <c r="BI46" s="282">
        <v>438.86319271600001</v>
      </c>
      <c r="BJ46" s="283">
        <v>93.8101981067</v>
      </c>
    </row>
    <row r="47" spans="1:62">
      <c r="A47" s="1383"/>
      <c r="B47" s="252" t="s">
        <v>128</v>
      </c>
      <c r="C47" s="255">
        <v>3256</v>
      </c>
      <c r="D47" s="255">
        <v>2979</v>
      </c>
      <c r="E47" s="255">
        <v>3007</v>
      </c>
      <c r="F47" s="255">
        <v>6273</v>
      </c>
      <c r="G47" s="255">
        <v>9713</v>
      </c>
      <c r="H47" s="255">
        <v>6479</v>
      </c>
      <c r="I47" s="255">
        <v>4686</v>
      </c>
      <c r="J47" s="255">
        <v>4015</v>
      </c>
      <c r="K47" s="255">
        <v>4081</v>
      </c>
      <c r="L47" s="255">
        <v>4376</v>
      </c>
      <c r="M47" s="255">
        <v>3875</v>
      </c>
      <c r="N47" s="255">
        <v>2870</v>
      </c>
      <c r="O47" s="255">
        <v>3017</v>
      </c>
      <c r="P47" s="255">
        <v>3199</v>
      </c>
      <c r="Q47" s="255">
        <v>3247</v>
      </c>
      <c r="R47" s="255">
        <v>3137</v>
      </c>
      <c r="S47" s="255">
        <v>1746</v>
      </c>
      <c r="T47" s="255">
        <v>1778</v>
      </c>
      <c r="U47" s="255">
        <v>736</v>
      </c>
      <c r="V47" s="262">
        <v>212</v>
      </c>
      <c r="W47" s="272">
        <v>3317.874945</v>
      </c>
      <c r="X47" s="255">
        <v>2985.4718299999995</v>
      </c>
      <c r="Y47" s="255">
        <v>3050.4751309999997</v>
      </c>
      <c r="Z47" s="255">
        <v>6081.3617020000002</v>
      </c>
      <c r="AA47" s="255">
        <v>9703.5364200000004</v>
      </c>
      <c r="AB47" s="255">
        <v>5790.8126110000003</v>
      </c>
      <c r="AC47" s="255">
        <v>4251.6656700000003</v>
      </c>
      <c r="AD47" s="255">
        <v>3847.1794530000002</v>
      </c>
      <c r="AE47" s="255">
        <v>3902.4216930000002</v>
      </c>
      <c r="AF47" s="255">
        <v>3842.54648</v>
      </c>
      <c r="AG47" s="255">
        <v>3999.4858580000005</v>
      </c>
      <c r="AH47" s="255">
        <v>3915.7536290000003</v>
      </c>
      <c r="AI47" s="255">
        <v>3614.2785200000003</v>
      </c>
      <c r="AJ47" s="255">
        <v>2795.4492249999998</v>
      </c>
      <c r="AK47" s="255">
        <v>2972.4994609999999</v>
      </c>
      <c r="AL47" s="255">
        <v>2993.552514</v>
      </c>
      <c r="AM47" s="255">
        <v>2746.8632389999998</v>
      </c>
      <c r="AN47" s="255">
        <v>1955.1259730000002</v>
      </c>
      <c r="AO47" s="255">
        <v>809.23396000000002</v>
      </c>
      <c r="AP47" s="273">
        <v>344.466475</v>
      </c>
      <c r="AQ47" s="284">
        <v>3690.2056549199997</v>
      </c>
      <c r="AR47" s="285">
        <v>3360.0797093299998</v>
      </c>
      <c r="AS47" s="285">
        <v>3000.8585648500002</v>
      </c>
      <c r="AT47" s="285">
        <v>6566.3073302899993</v>
      </c>
      <c r="AU47" s="285">
        <v>8388.6688138999998</v>
      </c>
      <c r="AV47" s="285">
        <v>5601.4532333900006</v>
      </c>
      <c r="AW47" s="285">
        <v>4479.9286373100003</v>
      </c>
      <c r="AX47" s="285">
        <v>3834.3314257299999</v>
      </c>
      <c r="AY47" s="285">
        <v>3801.0901970899999</v>
      </c>
      <c r="AZ47" s="285">
        <v>3768.2242810799999</v>
      </c>
      <c r="BA47" s="285">
        <v>3802.0433597600004</v>
      </c>
      <c r="BB47" s="285">
        <v>3644.5761386600002</v>
      </c>
      <c r="BC47" s="285">
        <v>3865.51081204</v>
      </c>
      <c r="BD47" s="285">
        <v>3539.9323256600001</v>
      </c>
      <c r="BE47" s="285">
        <v>2740.6819710700001</v>
      </c>
      <c r="BF47" s="285">
        <v>2747.93797516</v>
      </c>
      <c r="BG47" s="285">
        <v>2729.7314208600001</v>
      </c>
      <c r="BH47" s="285">
        <v>2173.6368223899999</v>
      </c>
      <c r="BI47" s="285">
        <v>1305.7117056299999</v>
      </c>
      <c r="BJ47" s="286">
        <v>368.29830752699996</v>
      </c>
    </row>
    <row r="48" spans="1:62" ht="14.4" thickBot="1">
      <c r="A48" s="1389" t="s">
        <v>304</v>
      </c>
      <c r="B48" s="279" t="s">
        <v>305</v>
      </c>
      <c r="C48" s="275">
        <f t="shared" ref="C48:V48" si="0">C4+C6+C8+C10+C12+C14+C16+C18+C20+C22+C24+C26+C28+C30+C32+C34+C36+C38+C40+C42+C44+C46</f>
        <v>7801</v>
      </c>
      <c r="D48" s="275">
        <f t="shared" si="0"/>
        <v>7767</v>
      </c>
      <c r="E48" s="275">
        <f t="shared" si="0"/>
        <v>8395</v>
      </c>
      <c r="F48" s="275">
        <f t="shared" si="0"/>
        <v>9999</v>
      </c>
      <c r="G48" s="275">
        <f t="shared" si="0"/>
        <v>12056</v>
      </c>
      <c r="H48" s="275">
        <f t="shared" si="0"/>
        <v>11513</v>
      </c>
      <c r="I48" s="275">
        <f t="shared" si="0"/>
        <v>9456</v>
      </c>
      <c r="J48" s="275">
        <f t="shared" si="0"/>
        <v>8785</v>
      </c>
      <c r="K48" s="275">
        <f t="shared" si="0"/>
        <v>8964</v>
      </c>
      <c r="L48" s="275">
        <f t="shared" si="0"/>
        <v>9386</v>
      </c>
      <c r="M48" s="275">
        <f t="shared" si="0"/>
        <v>8286</v>
      </c>
      <c r="N48" s="275">
        <f t="shared" si="0"/>
        <v>5965</v>
      </c>
      <c r="O48" s="275">
        <f t="shared" si="0"/>
        <v>5536</v>
      </c>
      <c r="P48" s="275">
        <f t="shared" si="0"/>
        <v>5112</v>
      </c>
      <c r="Q48" s="275">
        <f t="shared" si="0"/>
        <v>4353</v>
      </c>
      <c r="R48" s="275">
        <f t="shared" si="0"/>
        <v>3701</v>
      </c>
      <c r="S48" s="275">
        <f t="shared" si="0"/>
        <v>1612</v>
      </c>
      <c r="T48" s="275">
        <f t="shared" si="0"/>
        <v>1333</v>
      </c>
      <c r="U48" s="275">
        <f t="shared" si="0"/>
        <v>382</v>
      </c>
      <c r="V48" s="276">
        <f t="shared" si="0"/>
        <v>70</v>
      </c>
      <c r="W48" s="275">
        <f t="shared" ref="W48:AP48" si="1">W4+W6+W8+W10+W12+W14+W16+W18+W20+W22+W24+W26+W28+W30+W32+W34+W36+W38+W40+W42+W44+W46</f>
        <v>8074.1124660000005</v>
      </c>
      <c r="X48" s="275">
        <f t="shared" si="1"/>
        <v>7496.7034590000003</v>
      </c>
      <c r="Y48" s="275">
        <f t="shared" si="1"/>
        <v>7727.621513</v>
      </c>
      <c r="Z48" s="275">
        <f t="shared" si="1"/>
        <v>10314.330322999998</v>
      </c>
      <c r="AA48" s="275">
        <f t="shared" si="1"/>
        <v>12295.062973</v>
      </c>
      <c r="AB48" s="275">
        <f t="shared" si="1"/>
        <v>9890.4932970000009</v>
      </c>
      <c r="AC48" s="275">
        <f t="shared" si="1"/>
        <v>8325.7021399999994</v>
      </c>
      <c r="AD48" s="275">
        <f t="shared" si="1"/>
        <v>8364.8852200000001</v>
      </c>
      <c r="AE48" s="275">
        <f t="shared" si="1"/>
        <v>8804.6797269999988</v>
      </c>
      <c r="AF48" s="275">
        <f t="shared" si="1"/>
        <v>8526.4608899999985</v>
      </c>
      <c r="AG48" s="275">
        <f t="shared" si="1"/>
        <v>8725.2821860000004</v>
      </c>
      <c r="AH48" s="275">
        <f t="shared" si="1"/>
        <v>8533.5084719999995</v>
      </c>
      <c r="AI48" s="275">
        <f t="shared" si="1"/>
        <v>7564.9336789999988</v>
      </c>
      <c r="AJ48" s="275">
        <f t="shared" si="1"/>
        <v>5294.1605770000006</v>
      </c>
      <c r="AK48" s="275">
        <f t="shared" si="1"/>
        <v>4771.8682609999996</v>
      </c>
      <c r="AL48" s="275">
        <f t="shared" si="1"/>
        <v>4360.3382540000002</v>
      </c>
      <c r="AM48" s="275">
        <f t="shared" si="1"/>
        <v>3061.7137910000001</v>
      </c>
      <c r="AN48" s="275">
        <f t="shared" si="1"/>
        <v>1852.4859739999999</v>
      </c>
      <c r="AO48" s="275">
        <f t="shared" si="1"/>
        <v>566.40430199999992</v>
      </c>
      <c r="AP48" s="276">
        <f t="shared" si="1"/>
        <v>148.125821</v>
      </c>
      <c r="AQ48" s="287">
        <f t="shared" ref="AQ48:BJ48" si="2">AQ4+AQ6+AQ8+AQ10+AQ12+AQ14+AQ16+AQ18+AQ20+AQ22+AQ24+AQ26+AQ28+AQ30+AQ32+AQ34+AQ36+AQ38+AQ40+AQ42+AQ44+AQ46</f>
        <v>8000.3651272453999</v>
      </c>
      <c r="AR48" s="287">
        <f t="shared" si="2"/>
        <v>7786.1492346088999</v>
      </c>
      <c r="AS48" s="287">
        <f t="shared" si="2"/>
        <v>8065.3096361779008</v>
      </c>
      <c r="AT48" s="287">
        <f t="shared" si="2"/>
        <v>10200.387113008699</v>
      </c>
      <c r="AU48" s="287">
        <f t="shared" si="2"/>
        <v>11367.4650472583</v>
      </c>
      <c r="AV48" s="287">
        <f t="shared" si="2"/>
        <v>9893.4154947071002</v>
      </c>
      <c r="AW48" s="287">
        <f t="shared" si="2"/>
        <v>8640.5359244290994</v>
      </c>
      <c r="AX48" s="287">
        <f t="shared" si="2"/>
        <v>7860.0901943559993</v>
      </c>
      <c r="AY48" s="287">
        <f t="shared" si="2"/>
        <v>8747.4111204274996</v>
      </c>
      <c r="AZ48" s="287">
        <f t="shared" si="2"/>
        <v>8752.1922282831001</v>
      </c>
      <c r="BA48" s="287">
        <f t="shared" si="2"/>
        <v>8149.5170180329005</v>
      </c>
      <c r="BB48" s="287">
        <f t="shared" si="2"/>
        <v>8199.5807619379993</v>
      </c>
      <c r="BC48" s="287">
        <f t="shared" si="2"/>
        <v>8108.1483856703999</v>
      </c>
      <c r="BD48" s="287">
        <f t="shared" si="2"/>
        <v>7006.8966833068989</v>
      </c>
      <c r="BE48" s="287">
        <f t="shared" si="2"/>
        <v>4982.8954960147003</v>
      </c>
      <c r="BF48" s="287">
        <f t="shared" si="2"/>
        <v>4209.6902847337997</v>
      </c>
      <c r="BG48" s="287">
        <f t="shared" si="2"/>
        <v>3492.2334350609999</v>
      </c>
      <c r="BH48" s="287">
        <f t="shared" si="2"/>
        <v>2134.4215170954999</v>
      </c>
      <c r="BI48" s="287">
        <f t="shared" si="2"/>
        <v>937.50647391140001</v>
      </c>
      <c r="BJ48" s="288">
        <f t="shared" si="2"/>
        <v>192.2588014424</v>
      </c>
    </row>
    <row r="49" spans="1:62">
      <c r="A49" s="1390"/>
      <c r="B49" s="280" t="s">
        <v>306</v>
      </c>
      <c r="C49" s="277">
        <f t="shared" ref="C49:V49" si="3">C5+C7+C9+C11+C13+C15+C17+C19+C21+C23+C25+C27+C29+C31+C33+C35+C37+C39+C41+C43+C45+C47</f>
        <v>7338</v>
      </c>
      <c r="D49" s="277">
        <f t="shared" si="3"/>
        <v>7391</v>
      </c>
      <c r="E49" s="277">
        <f t="shared" si="3"/>
        <v>7925</v>
      </c>
      <c r="F49" s="277">
        <f t="shared" si="3"/>
        <v>11704</v>
      </c>
      <c r="G49" s="277">
        <f t="shared" si="3"/>
        <v>14448</v>
      </c>
      <c r="H49" s="277">
        <f t="shared" si="3"/>
        <v>11268</v>
      </c>
      <c r="I49" s="277">
        <f t="shared" si="3"/>
        <v>9712</v>
      </c>
      <c r="J49" s="277">
        <f t="shared" si="3"/>
        <v>9376</v>
      </c>
      <c r="K49" s="277">
        <f t="shared" si="3"/>
        <v>9827</v>
      </c>
      <c r="L49" s="277">
        <f t="shared" si="3"/>
        <v>10447</v>
      </c>
      <c r="M49" s="277">
        <f t="shared" si="3"/>
        <v>9227</v>
      </c>
      <c r="N49" s="277">
        <f t="shared" si="3"/>
        <v>6460</v>
      </c>
      <c r="O49" s="277">
        <f t="shared" si="3"/>
        <v>6425</v>
      </c>
      <c r="P49" s="277">
        <f t="shared" si="3"/>
        <v>6416</v>
      </c>
      <c r="Q49" s="277">
        <f t="shared" si="3"/>
        <v>6172</v>
      </c>
      <c r="R49" s="277">
        <f t="shared" si="3"/>
        <v>5630</v>
      </c>
      <c r="S49" s="277">
        <f t="shared" si="3"/>
        <v>3010</v>
      </c>
      <c r="T49" s="277">
        <f t="shared" si="3"/>
        <v>2982</v>
      </c>
      <c r="U49" s="277">
        <f t="shared" si="3"/>
        <v>1282</v>
      </c>
      <c r="V49" s="278">
        <f t="shared" si="3"/>
        <v>384</v>
      </c>
      <c r="W49" s="277">
        <f t="shared" ref="W49:AP49" si="4">W5+W7+W9+W11+W13+W15+W17+W19+W21+W23+W25+W27+W29+W31+W33+W35+W37+W39+W41+W43+W45+W47</f>
        <v>7184.7989319999997</v>
      </c>
      <c r="X49" s="277">
        <f t="shared" si="4"/>
        <v>7423.4256489999998</v>
      </c>
      <c r="Y49" s="277">
        <f t="shared" si="4"/>
        <v>7710.448217000001</v>
      </c>
      <c r="Z49" s="277">
        <f t="shared" si="4"/>
        <v>10897.668244</v>
      </c>
      <c r="AA49" s="277">
        <f t="shared" si="4"/>
        <v>14520.508582999999</v>
      </c>
      <c r="AB49" s="277">
        <f t="shared" si="4"/>
        <v>9812.5779160000002</v>
      </c>
      <c r="AC49" s="277">
        <f t="shared" si="4"/>
        <v>8341.4822940000013</v>
      </c>
      <c r="AD49" s="277">
        <f t="shared" si="4"/>
        <v>8694.9327379999995</v>
      </c>
      <c r="AE49" s="277">
        <f t="shared" si="4"/>
        <v>9275.4146020000007</v>
      </c>
      <c r="AF49" s="277">
        <f t="shared" si="4"/>
        <v>9511.0876549999994</v>
      </c>
      <c r="AG49" s="277">
        <f t="shared" si="4"/>
        <v>9772.9671419999995</v>
      </c>
      <c r="AH49" s="277">
        <f t="shared" si="4"/>
        <v>9775.6184330000015</v>
      </c>
      <c r="AI49" s="277">
        <f t="shared" si="4"/>
        <v>9057.3228959999997</v>
      </c>
      <c r="AJ49" s="277">
        <f t="shared" si="4"/>
        <v>6577.3351779999994</v>
      </c>
      <c r="AK49" s="277">
        <f t="shared" si="4"/>
        <v>6386.4692940000004</v>
      </c>
      <c r="AL49" s="277">
        <f t="shared" si="4"/>
        <v>6129.9998869999999</v>
      </c>
      <c r="AM49" s="277">
        <f t="shared" si="4"/>
        <v>5409.7778689999996</v>
      </c>
      <c r="AN49" s="277">
        <f t="shared" si="4"/>
        <v>3722.8745060000001</v>
      </c>
      <c r="AO49" s="277">
        <f t="shared" si="4"/>
        <v>1460.0502489999999</v>
      </c>
      <c r="AP49" s="278">
        <f t="shared" si="4"/>
        <v>641.36638500000004</v>
      </c>
      <c r="AQ49" s="289">
        <f t="shared" ref="AQ49:BJ49" si="5">AQ5+AQ7+AQ9+AQ11+AQ13+AQ15+AQ17+AQ19+AQ21+AQ23+AQ25+AQ27+AQ29+AQ31+AQ33+AQ35+AQ37+AQ39+AQ41+AQ43+AQ45+AQ47</f>
        <v>7777.7644103237999</v>
      </c>
      <c r="AR49" s="289">
        <f t="shared" si="5"/>
        <v>7756.4702777367993</v>
      </c>
      <c r="AS49" s="289">
        <f t="shared" si="5"/>
        <v>7842.0036214981001</v>
      </c>
      <c r="AT49" s="289">
        <f t="shared" si="5"/>
        <v>11663.837966130199</v>
      </c>
      <c r="AU49" s="289">
        <f t="shared" si="5"/>
        <v>12950.909038334199</v>
      </c>
      <c r="AV49" s="289">
        <f t="shared" si="5"/>
        <v>9875.8833864455009</v>
      </c>
      <c r="AW49" s="289">
        <f t="shared" si="5"/>
        <v>8626.7116372261007</v>
      </c>
      <c r="AX49" s="289">
        <f t="shared" si="5"/>
        <v>8350.4707191753987</v>
      </c>
      <c r="AY49" s="289">
        <f t="shared" si="5"/>
        <v>9114.9844438419022</v>
      </c>
      <c r="AZ49" s="289">
        <f t="shared" si="5"/>
        <v>9276.1729239273991</v>
      </c>
      <c r="BA49" s="289">
        <f t="shared" si="5"/>
        <v>9236.6103320477996</v>
      </c>
      <c r="BB49" s="289">
        <f t="shared" si="5"/>
        <v>9136.4666196861999</v>
      </c>
      <c r="BC49" s="289">
        <f t="shared" si="5"/>
        <v>9647.8490374342</v>
      </c>
      <c r="BD49" s="289">
        <f t="shared" si="5"/>
        <v>8945.7355372564998</v>
      </c>
      <c r="BE49" s="289">
        <f t="shared" si="5"/>
        <v>6327.0152595825002</v>
      </c>
      <c r="BF49" s="289">
        <f t="shared" si="5"/>
        <v>6025.8989988728999</v>
      </c>
      <c r="BG49" s="289">
        <f t="shared" si="5"/>
        <v>5543.6089098627999</v>
      </c>
      <c r="BH49" s="289">
        <f t="shared" si="5"/>
        <v>4250.8722828881</v>
      </c>
      <c r="BI49" s="289">
        <f t="shared" si="5"/>
        <v>2453.0524913183999</v>
      </c>
      <c r="BJ49" s="290">
        <f t="shared" si="5"/>
        <v>739.21212886679996</v>
      </c>
    </row>
    <row r="50" spans="1:62" ht="14.4" thickBot="1">
      <c r="A50" s="1382" t="s">
        <v>18</v>
      </c>
      <c r="B50" s="250" t="s">
        <v>165</v>
      </c>
      <c r="C50" s="251">
        <v>89</v>
      </c>
      <c r="D50" s="251">
        <v>114</v>
      </c>
      <c r="E50" s="251">
        <v>131</v>
      </c>
      <c r="F50" s="251">
        <v>93</v>
      </c>
      <c r="G50" s="251">
        <v>69</v>
      </c>
      <c r="H50" s="251">
        <v>66</v>
      </c>
      <c r="I50" s="251">
        <v>105</v>
      </c>
      <c r="J50" s="251">
        <v>112</v>
      </c>
      <c r="K50" s="251">
        <v>157</v>
      </c>
      <c r="L50" s="251">
        <v>127</v>
      </c>
      <c r="M50" s="251">
        <v>105</v>
      </c>
      <c r="N50" s="251">
        <v>56</v>
      </c>
      <c r="O50" s="251">
        <v>42</v>
      </c>
      <c r="P50" s="251">
        <v>40</v>
      </c>
      <c r="Q50" s="251">
        <v>33</v>
      </c>
      <c r="R50" s="251">
        <v>34</v>
      </c>
      <c r="S50" s="251">
        <v>20</v>
      </c>
      <c r="T50" s="251">
        <v>8</v>
      </c>
      <c r="U50" s="251">
        <v>1</v>
      </c>
      <c r="V50" s="259">
        <v>0</v>
      </c>
      <c r="W50" s="266">
        <v>86.243619999999993</v>
      </c>
      <c r="X50" s="251">
        <v>119.895723</v>
      </c>
      <c r="Y50" s="251">
        <v>122.77265800000001</v>
      </c>
      <c r="Z50" s="251">
        <v>95.330024999999992</v>
      </c>
      <c r="AA50" s="251">
        <v>56.852163000000012</v>
      </c>
      <c r="AB50" s="251">
        <v>51.235503000000001</v>
      </c>
      <c r="AC50" s="251">
        <v>79.025741000000011</v>
      </c>
      <c r="AD50" s="251">
        <v>129.65638899999999</v>
      </c>
      <c r="AE50" s="251">
        <v>124.51749</v>
      </c>
      <c r="AF50" s="251">
        <v>109.84785699999999</v>
      </c>
      <c r="AG50" s="251">
        <v>137.01459700000001</v>
      </c>
      <c r="AH50" s="251">
        <v>129.369643</v>
      </c>
      <c r="AI50" s="251">
        <v>99.305096000000006</v>
      </c>
      <c r="AJ50" s="251">
        <v>53.772736999999999</v>
      </c>
      <c r="AK50" s="251">
        <v>38.532477999999998</v>
      </c>
      <c r="AL50" s="251">
        <v>34.461624999999998</v>
      </c>
      <c r="AM50" s="251">
        <v>18.262560999999998</v>
      </c>
      <c r="AN50" s="251">
        <v>11.160981</v>
      </c>
      <c r="AO50" s="251">
        <v>4.0582609999999999</v>
      </c>
      <c r="AP50" s="267">
        <v>0</v>
      </c>
      <c r="AQ50" s="266">
        <v>71.966073187900008</v>
      </c>
      <c r="AR50" s="251">
        <v>101.08390400900001</v>
      </c>
      <c r="AS50" s="251">
        <v>115.17541776100001</v>
      </c>
      <c r="AT50" s="251">
        <v>103.579053</v>
      </c>
      <c r="AU50" s="251">
        <v>62.535991454500007</v>
      </c>
      <c r="AV50" s="251">
        <v>50.068041618800009</v>
      </c>
      <c r="AW50" s="251">
        <v>84.771781613599998</v>
      </c>
      <c r="AX50" s="251">
        <v>91.137553057200009</v>
      </c>
      <c r="AY50" s="251">
        <v>137.510706459</v>
      </c>
      <c r="AZ50" s="251">
        <v>127.108159685</v>
      </c>
      <c r="BA50" s="251">
        <v>110.89716811</v>
      </c>
      <c r="BB50" s="251">
        <v>128.15365734700001</v>
      </c>
      <c r="BC50" s="251">
        <v>125.02350044800001</v>
      </c>
      <c r="BD50" s="251">
        <v>93.00513126429999</v>
      </c>
      <c r="BE50" s="251">
        <v>45.492946218500002</v>
      </c>
      <c r="BF50" s="251">
        <v>32.295062465100003</v>
      </c>
      <c r="BG50" s="251">
        <v>28.280271333200002</v>
      </c>
      <c r="BH50" s="251">
        <v>16.228358047</v>
      </c>
      <c r="BI50" s="251">
        <v>4.0381702236999999</v>
      </c>
      <c r="BJ50" s="267">
        <v>1.0095425559</v>
      </c>
    </row>
    <row r="51" spans="1:62">
      <c r="A51" s="1383"/>
      <c r="B51" s="252" t="s">
        <v>166</v>
      </c>
      <c r="C51" s="253">
        <v>81</v>
      </c>
      <c r="D51" s="253">
        <v>109</v>
      </c>
      <c r="E51" s="253">
        <v>105</v>
      </c>
      <c r="F51" s="253">
        <v>85</v>
      </c>
      <c r="G51" s="253">
        <v>41</v>
      </c>
      <c r="H51" s="253">
        <v>75</v>
      </c>
      <c r="I51" s="253">
        <v>108</v>
      </c>
      <c r="J51" s="253">
        <v>138</v>
      </c>
      <c r="K51" s="253">
        <v>116</v>
      </c>
      <c r="L51" s="253">
        <v>122</v>
      </c>
      <c r="M51" s="253">
        <v>88</v>
      </c>
      <c r="N51" s="253">
        <v>45</v>
      </c>
      <c r="O51" s="253">
        <v>45</v>
      </c>
      <c r="P51" s="253">
        <v>45</v>
      </c>
      <c r="Q51" s="253">
        <v>43</v>
      </c>
      <c r="R51" s="253">
        <v>39</v>
      </c>
      <c r="S51" s="253">
        <v>10</v>
      </c>
      <c r="T51" s="253">
        <v>8</v>
      </c>
      <c r="U51" s="253">
        <v>1</v>
      </c>
      <c r="V51" s="260">
        <v>1</v>
      </c>
      <c r="W51" s="268">
        <v>84.327385000000007</v>
      </c>
      <c r="X51" s="253">
        <v>114.69211000000001</v>
      </c>
      <c r="Y51" s="253">
        <v>93.155037000000007</v>
      </c>
      <c r="Z51" s="253">
        <v>102.250885</v>
      </c>
      <c r="AA51" s="253">
        <v>54.133958999999997</v>
      </c>
      <c r="AB51" s="253">
        <v>44.314531000000002</v>
      </c>
      <c r="AC51" s="253">
        <v>90.660211000000004</v>
      </c>
      <c r="AD51" s="253">
        <v>137.31250899999998</v>
      </c>
      <c r="AE51" s="253">
        <v>113.444095</v>
      </c>
      <c r="AF51" s="253">
        <v>135.256676</v>
      </c>
      <c r="AG51" s="253">
        <v>116.856673</v>
      </c>
      <c r="AH51" s="253">
        <v>121.636612</v>
      </c>
      <c r="AI51" s="253">
        <v>87.209224000000006</v>
      </c>
      <c r="AJ51" s="253">
        <v>49.806494999999998</v>
      </c>
      <c r="AK51" s="253">
        <v>45.804749000000001</v>
      </c>
      <c r="AL51" s="253">
        <v>37.642910000000001</v>
      </c>
      <c r="AM51" s="253">
        <v>35.693840000000002</v>
      </c>
      <c r="AN51" s="253">
        <v>23.405645999999997</v>
      </c>
      <c r="AO51" s="253">
        <v>4.0813009999999998</v>
      </c>
      <c r="AP51" s="269">
        <v>0</v>
      </c>
      <c r="AQ51" s="268">
        <v>81.862957406999996</v>
      </c>
      <c r="AR51" s="253">
        <v>88.451730865000002</v>
      </c>
      <c r="AS51" s="253">
        <v>118.93226978800001</v>
      </c>
      <c r="AT51" s="253">
        <v>85.815156772599991</v>
      </c>
      <c r="AU51" s="253">
        <v>51.754907404699999</v>
      </c>
      <c r="AV51" s="253">
        <v>53.982248739500001</v>
      </c>
      <c r="AW51" s="253">
        <v>77.456901930300006</v>
      </c>
      <c r="AX51" s="253">
        <v>97.636655054000002</v>
      </c>
      <c r="AY51" s="253">
        <v>154.33691118199999</v>
      </c>
      <c r="AZ51" s="253">
        <v>110.252436332</v>
      </c>
      <c r="BA51" s="253">
        <v>123.43061663099999</v>
      </c>
      <c r="BB51" s="253">
        <v>131.02048717899999</v>
      </c>
      <c r="BC51" s="253">
        <v>110.16704536500001</v>
      </c>
      <c r="BD51" s="253">
        <v>77.874140796999995</v>
      </c>
      <c r="BE51" s="253">
        <v>45.481259518099996</v>
      </c>
      <c r="BF51" s="253">
        <v>36.432444568400001</v>
      </c>
      <c r="BG51" s="253">
        <v>30.337654270999998</v>
      </c>
      <c r="BH51" s="253">
        <v>23.2350295725</v>
      </c>
      <c r="BI51" s="253">
        <v>11.156501344</v>
      </c>
      <c r="BJ51" s="269">
        <v>1.0221554146</v>
      </c>
    </row>
    <row r="52" spans="1:62" ht="14.4" thickBot="1">
      <c r="A52" s="1382" t="s">
        <v>20</v>
      </c>
      <c r="B52" s="250" t="s">
        <v>129</v>
      </c>
      <c r="C52" s="254">
        <v>64</v>
      </c>
      <c r="D52" s="254">
        <v>84</v>
      </c>
      <c r="E52" s="254">
        <v>85</v>
      </c>
      <c r="F52" s="254">
        <v>80</v>
      </c>
      <c r="G52" s="254">
        <v>64</v>
      </c>
      <c r="H52" s="254">
        <v>48</v>
      </c>
      <c r="I52" s="254">
        <v>64</v>
      </c>
      <c r="J52" s="254">
        <v>82</v>
      </c>
      <c r="K52" s="254">
        <v>94</v>
      </c>
      <c r="L52" s="254">
        <v>113</v>
      </c>
      <c r="M52" s="254">
        <v>86</v>
      </c>
      <c r="N52" s="254">
        <v>59</v>
      </c>
      <c r="O52" s="254">
        <v>41</v>
      </c>
      <c r="P52" s="254">
        <v>34</v>
      </c>
      <c r="Q52" s="254">
        <v>18</v>
      </c>
      <c r="R52" s="254">
        <v>14</v>
      </c>
      <c r="S52" s="254">
        <v>6</v>
      </c>
      <c r="T52" s="254">
        <v>5</v>
      </c>
      <c r="U52" s="254">
        <v>1</v>
      </c>
      <c r="V52" s="261">
        <v>0</v>
      </c>
      <c r="W52" s="270">
        <v>75.802042</v>
      </c>
      <c r="X52" s="254">
        <v>81.172894999999997</v>
      </c>
      <c r="Y52" s="254">
        <v>78.226471000000004</v>
      </c>
      <c r="Z52" s="254">
        <v>75.625738999999996</v>
      </c>
      <c r="AA52" s="254">
        <v>53.825282000000001</v>
      </c>
      <c r="AB52" s="254">
        <v>38.411212999999996</v>
      </c>
      <c r="AC52" s="254">
        <v>65.816849999999988</v>
      </c>
      <c r="AD52" s="254">
        <v>96.863162000000003</v>
      </c>
      <c r="AE52" s="254">
        <v>89.177486999999999</v>
      </c>
      <c r="AF52" s="254">
        <v>85.438307999999992</v>
      </c>
      <c r="AG52" s="254">
        <v>101.485587</v>
      </c>
      <c r="AH52" s="254">
        <v>129.71632600000001</v>
      </c>
      <c r="AI52" s="254">
        <v>81.822437999999991</v>
      </c>
      <c r="AJ52" s="254">
        <v>51.517671999999997</v>
      </c>
      <c r="AK52" s="254">
        <v>35.566780999999999</v>
      </c>
      <c r="AL52" s="254">
        <v>23.594788000000001</v>
      </c>
      <c r="AM52" s="254">
        <v>7.6091110000000004</v>
      </c>
      <c r="AN52" s="254">
        <v>4.3684440000000002</v>
      </c>
      <c r="AO52" s="254">
        <v>0</v>
      </c>
      <c r="AP52" s="271">
        <v>0</v>
      </c>
      <c r="AQ52" s="281">
        <v>72.828554397000005</v>
      </c>
      <c r="AR52" s="282">
        <v>81.105539522000001</v>
      </c>
      <c r="AS52" s="282">
        <v>79.097995118999989</v>
      </c>
      <c r="AT52" s="282">
        <v>63.329751297199998</v>
      </c>
      <c r="AU52" s="282">
        <v>49.614697305600004</v>
      </c>
      <c r="AV52" s="282">
        <v>40.115790865600005</v>
      </c>
      <c r="AW52" s="282">
        <v>59.1866733504</v>
      </c>
      <c r="AX52" s="282">
        <v>82.549056363800005</v>
      </c>
      <c r="AY52" s="282">
        <v>94.039076739999999</v>
      </c>
      <c r="AZ52" s="282">
        <v>87.002895124000005</v>
      </c>
      <c r="BA52" s="282">
        <v>85.390525181000001</v>
      </c>
      <c r="BB52" s="282">
        <v>100.20689692100001</v>
      </c>
      <c r="BC52" s="282">
        <v>112.04247689499999</v>
      </c>
      <c r="BD52" s="282">
        <v>77.243706934000016</v>
      </c>
      <c r="BE52" s="282">
        <v>47.859826903999995</v>
      </c>
      <c r="BF52" s="282">
        <v>34.575417008999999</v>
      </c>
      <c r="BG52" s="282">
        <v>18.353764905200002</v>
      </c>
      <c r="BH52" s="282">
        <v>7.2039439646999996</v>
      </c>
      <c r="BI52" s="282">
        <v>1.0182415053</v>
      </c>
      <c r="BJ52" s="283">
        <v>0</v>
      </c>
    </row>
    <row r="53" spans="1:62">
      <c r="A53" s="1383"/>
      <c r="B53" s="252" t="s">
        <v>130</v>
      </c>
      <c r="C53" s="255">
        <v>45</v>
      </c>
      <c r="D53" s="255">
        <v>61</v>
      </c>
      <c r="E53" s="255">
        <v>67</v>
      </c>
      <c r="F53" s="255">
        <v>89</v>
      </c>
      <c r="G53" s="255">
        <v>51</v>
      </c>
      <c r="H53" s="255">
        <v>43</v>
      </c>
      <c r="I53" s="255">
        <v>66</v>
      </c>
      <c r="J53" s="255">
        <v>84</v>
      </c>
      <c r="K53" s="255">
        <v>105</v>
      </c>
      <c r="L53" s="255">
        <v>112</v>
      </c>
      <c r="M53" s="255">
        <v>83</v>
      </c>
      <c r="N53" s="255">
        <v>59</v>
      </c>
      <c r="O53" s="255">
        <v>33</v>
      </c>
      <c r="P53" s="255">
        <v>37</v>
      </c>
      <c r="Q53" s="255">
        <v>21</v>
      </c>
      <c r="R53" s="255">
        <v>19</v>
      </c>
      <c r="S53" s="255">
        <v>8</v>
      </c>
      <c r="T53" s="255">
        <v>9</v>
      </c>
      <c r="U53" s="255">
        <v>1</v>
      </c>
      <c r="V53" s="262">
        <v>0</v>
      </c>
      <c r="W53" s="272">
        <v>82.939039000000008</v>
      </c>
      <c r="X53" s="255">
        <v>91.888297999999992</v>
      </c>
      <c r="Y53" s="255">
        <v>63.345423000000004</v>
      </c>
      <c r="Z53" s="255">
        <v>70.785557999999995</v>
      </c>
      <c r="AA53" s="255">
        <v>26.498943999999998</v>
      </c>
      <c r="AB53" s="255">
        <v>53.900957000000005</v>
      </c>
      <c r="AC53" s="255">
        <v>72.442170000000004</v>
      </c>
      <c r="AD53" s="255">
        <v>101.01088799999999</v>
      </c>
      <c r="AE53" s="255">
        <v>86.286551000000003</v>
      </c>
      <c r="AF53" s="255">
        <v>90.721835999999996</v>
      </c>
      <c r="AG53" s="255">
        <v>122.17673099999999</v>
      </c>
      <c r="AH53" s="255">
        <v>116.277985</v>
      </c>
      <c r="AI53" s="255">
        <v>83.951359999999994</v>
      </c>
      <c r="AJ53" s="255">
        <v>51.830359999999999</v>
      </c>
      <c r="AK53" s="255">
        <v>36.912219999999998</v>
      </c>
      <c r="AL53" s="255">
        <v>36.380382000000004</v>
      </c>
      <c r="AM53" s="255">
        <v>12.158497000000001</v>
      </c>
      <c r="AN53" s="255">
        <v>12.074443</v>
      </c>
      <c r="AO53" s="255">
        <v>1.1259209999999999</v>
      </c>
      <c r="AP53" s="273">
        <v>2.2518419999999999</v>
      </c>
      <c r="AQ53" s="284">
        <v>68.075155134799999</v>
      </c>
      <c r="AR53" s="285">
        <v>87.203170544000002</v>
      </c>
      <c r="AS53" s="285">
        <v>86.447694325000001</v>
      </c>
      <c r="AT53" s="285">
        <v>58.058871114699997</v>
      </c>
      <c r="AU53" s="285">
        <v>40.551755735699999</v>
      </c>
      <c r="AV53" s="285">
        <v>43.710851547599994</v>
      </c>
      <c r="AW53" s="285">
        <v>75.038229332</v>
      </c>
      <c r="AX53" s="285">
        <v>85.092507536999989</v>
      </c>
      <c r="AY53" s="285">
        <v>97.630038534000008</v>
      </c>
      <c r="AZ53" s="285">
        <v>78.959381458999999</v>
      </c>
      <c r="BA53" s="285">
        <v>87.320861506</v>
      </c>
      <c r="BB53" s="285">
        <v>111.619025597</v>
      </c>
      <c r="BC53" s="285">
        <v>111.10464335999998</v>
      </c>
      <c r="BD53" s="285">
        <v>75.582949869000004</v>
      </c>
      <c r="BE53" s="285">
        <v>47.986296911000004</v>
      </c>
      <c r="BF53" s="285">
        <v>29.630674891400002</v>
      </c>
      <c r="BG53" s="285">
        <v>26.906381893899997</v>
      </c>
      <c r="BH53" s="285">
        <v>8.2730210882999984</v>
      </c>
      <c r="BI53" s="285">
        <v>1.0436593144999999</v>
      </c>
      <c r="BJ53" s="286">
        <v>0</v>
      </c>
    </row>
    <row r="54" spans="1:62" ht="14.4" thickBot="1">
      <c r="A54" s="1382" t="s">
        <v>21</v>
      </c>
      <c r="B54" s="250" t="s">
        <v>163</v>
      </c>
      <c r="C54" s="251">
        <v>353</v>
      </c>
      <c r="D54" s="251">
        <v>418</v>
      </c>
      <c r="E54" s="251">
        <v>388</v>
      </c>
      <c r="F54" s="251">
        <v>322</v>
      </c>
      <c r="G54" s="251">
        <v>226</v>
      </c>
      <c r="H54" s="251">
        <v>244</v>
      </c>
      <c r="I54" s="251">
        <v>355</v>
      </c>
      <c r="J54" s="251">
        <v>371</v>
      </c>
      <c r="K54" s="251">
        <v>379</v>
      </c>
      <c r="L54" s="251">
        <v>367</v>
      </c>
      <c r="M54" s="251">
        <v>312</v>
      </c>
      <c r="N54" s="251">
        <v>235</v>
      </c>
      <c r="O54" s="251">
        <v>242</v>
      </c>
      <c r="P54" s="251">
        <v>180</v>
      </c>
      <c r="Q54" s="251">
        <v>134</v>
      </c>
      <c r="R54" s="251">
        <v>98</v>
      </c>
      <c r="S54" s="251">
        <v>49</v>
      </c>
      <c r="T54" s="251">
        <v>38</v>
      </c>
      <c r="U54" s="251">
        <v>18</v>
      </c>
      <c r="V54" s="259">
        <v>5</v>
      </c>
      <c r="W54" s="266">
        <v>337.26371899999998</v>
      </c>
      <c r="X54" s="251">
        <v>395.34489300000001</v>
      </c>
      <c r="Y54" s="251">
        <v>444.74600100000009</v>
      </c>
      <c r="Z54" s="251">
        <v>362.64037900000005</v>
      </c>
      <c r="AA54" s="251">
        <v>236.160045</v>
      </c>
      <c r="AB54" s="251">
        <v>290.27327100000002</v>
      </c>
      <c r="AC54" s="251">
        <v>287.97424599999999</v>
      </c>
      <c r="AD54" s="251">
        <v>391.20190300000002</v>
      </c>
      <c r="AE54" s="251">
        <v>415.20731900000004</v>
      </c>
      <c r="AF54" s="251">
        <v>402.59051799999997</v>
      </c>
      <c r="AG54" s="251">
        <v>304.40202500000004</v>
      </c>
      <c r="AH54" s="251">
        <v>362.397334</v>
      </c>
      <c r="AI54" s="251">
        <v>290.90511199999997</v>
      </c>
      <c r="AJ54" s="251">
        <v>233.18056300000001</v>
      </c>
      <c r="AK54" s="251">
        <v>181.41651099999999</v>
      </c>
      <c r="AL54" s="251">
        <v>123.63547</v>
      </c>
      <c r="AM54" s="251">
        <v>96.265552</v>
      </c>
      <c r="AN54" s="251">
        <v>47.610094000000004</v>
      </c>
      <c r="AO54" s="251">
        <v>16.613904000000002</v>
      </c>
      <c r="AP54" s="267">
        <v>1.075841</v>
      </c>
      <c r="AQ54" s="266">
        <v>326.35324076400002</v>
      </c>
      <c r="AR54" s="251">
        <v>422.18687531</v>
      </c>
      <c r="AS54" s="251">
        <v>372.53282215199999</v>
      </c>
      <c r="AT54" s="251">
        <v>333.99221555399998</v>
      </c>
      <c r="AU54" s="251">
        <v>211.748926216</v>
      </c>
      <c r="AV54" s="251">
        <v>238.49638298100004</v>
      </c>
      <c r="AW54" s="251">
        <v>237.50200399400003</v>
      </c>
      <c r="AX54" s="251">
        <v>304.58790495400001</v>
      </c>
      <c r="AY54" s="251">
        <v>397.07224065699995</v>
      </c>
      <c r="AZ54" s="251">
        <v>388.02670357300002</v>
      </c>
      <c r="BA54" s="251">
        <v>344.74241851099998</v>
      </c>
      <c r="BB54" s="251">
        <v>398.415414392</v>
      </c>
      <c r="BC54" s="251">
        <v>270.13803734700002</v>
      </c>
      <c r="BD54" s="251">
        <v>316.09101742299998</v>
      </c>
      <c r="BE54" s="251">
        <v>190.500276853</v>
      </c>
      <c r="BF54" s="251">
        <v>162.19400016399999</v>
      </c>
      <c r="BG54" s="251">
        <v>134.42287168999999</v>
      </c>
      <c r="BH54" s="251">
        <v>63.5451512295</v>
      </c>
      <c r="BI54" s="251">
        <v>30.779700657399999</v>
      </c>
      <c r="BJ54" s="267">
        <v>6.9968141376999995</v>
      </c>
    </row>
    <row r="55" spans="1:62">
      <c r="A55" s="1383"/>
      <c r="B55" s="252" t="s">
        <v>164</v>
      </c>
      <c r="C55" s="253">
        <v>315</v>
      </c>
      <c r="D55" s="253">
        <v>378</v>
      </c>
      <c r="E55" s="253">
        <v>386</v>
      </c>
      <c r="F55" s="253">
        <v>304</v>
      </c>
      <c r="G55" s="253">
        <v>196</v>
      </c>
      <c r="H55" s="253">
        <v>259</v>
      </c>
      <c r="I55" s="253">
        <v>363</v>
      </c>
      <c r="J55" s="253">
        <v>430</v>
      </c>
      <c r="K55" s="253">
        <v>392</v>
      </c>
      <c r="L55" s="253">
        <v>352</v>
      </c>
      <c r="M55" s="253">
        <v>329</v>
      </c>
      <c r="N55" s="253">
        <v>238</v>
      </c>
      <c r="O55" s="253">
        <v>190</v>
      </c>
      <c r="P55" s="253">
        <v>202</v>
      </c>
      <c r="Q55" s="253">
        <v>169</v>
      </c>
      <c r="R55" s="253">
        <v>148</v>
      </c>
      <c r="S55" s="253">
        <v>90</v>
      </c>
      <c r="T55" s="253">
        <v>109</v>
      </c>
      <c r="U55" s="253">
        <v>56</v>
      </c>
      <c r="V55" s="260">
        <v>13</v>
      </c>
      <c r="W55" s="268">
        <v>252.61008299999997</v>
      </c>
      <c r="X55" s="253">
        <v>329.91348900000003</v>
      </c>
      <c r="Y55" s="253">
        <v>347.08033599999999</v>
      </c>
      <c r="Z55" s="253">
        <v>354.26939600000003</v>
      </c>
      <c r="AA55" s="253">
        <v>227.08867000000001</v>
      </c>
      <c r="AB55" s="253">
        <v>246.50938599999998</v>
      </c>
      <c r="AC55" s="253">
        <v>290.326459</v>
      </c>
      <c r="AD55" s="253">
        <v>408.47535200000004</v>
      </c>
      <c r="AE55" s="253">
        <v>437.52342299999998</v>
      </c>
      <c r="AF55" s="253">
        <v>398.57467400000002</v>
      </c>
      <c r="AG55" s="253">
        <v>352.86471500000005</v>
      </c>
      <c r="AH55" s="253">
        <v>363.92640599999999</v>
      </c>
      <c r="AI55" s="253">
        <v>322.78842600000007</v>
      </c>
      <c r="AJ55" s="253">
        <v>241.41629599999999</v>
      </c>
      <c r="AK55" s="253">
        <v>171.20046400000001</v>
      </c>
      <c r="AL55" s="253">
        <v>158.41361800000001</v>
      </c>
      <c r="AM55" s="253">
        <v>175.02509499999999</v>
      </c>
      <c r="AN55" s="253">
        <v>106.14990399999999</v>
      </c>
      <c r="AO55" s="253">
        <v>58.685283000000005</v>
      </c>
      <c r="AP55" s="269">
        <v>23.253827000000005</v>
      </c>
      <c r="AQ55" s="268">
        <v>302.48427085499998</v>
      </c>
      <c r="AR55" s="253">
        <v>327.582909202</v>
      </c>
      <c r="AS55" s="253">
        <v>405.05346128099995</v>
      </c>
      <c r="AT55" s="253">
        <v>304.796171152</v>
      </c>
      <c r="AU55" s="253">
        <v>191.10908693100001</v>
      </c>
      <c r="AV55" s="253">
        <v>244.09494198399997</v>
      </c>
      <c r="AW55" s="253">
        <v>310.20554268299998</v>
      </c>
      <c r="AX55" s="253">
        <v>316.15293914400002</v>
      </c>
      <c r="AY55" s="253">
        <v>391.49693352399999</v>
      </c>
      <c r="AZ55" s="253">
        <v>413.02016553299995</v>
      </c>
      <c r="BA55" s="253">
        <v>312.64187217800003</v>
      </c>
      <c r="BB55" s="253">
        <v>371.572510067</v>
      </c>
      <c r="BC55" s="253">
        <v>376.69653042900006</v>
      </c>
      <c r="BD55" s="253">
        <v>338.22472121600003</v>
      </c>
      <c r="BE55" s="253">
        <v>215.67504415499999</v>
      </c>
      <c r="BF55" s="253">
        <v>204.05300352200001</v>
      </c>
      <c r="BG55" s="253">
        <v>162.82469083699999</v>
      </c>
      <c r="BH55" s="253">
        <v>138.310672442</v>
      </c>
      <c r="BI55" s="253">
        <v>101.40543912199999</v>
      </c>
      <c r="BJ55" s="269">
        <v>31.274075189999998</v>
      </c>
    </row>
    <row r="56" spans="1:62" ht="14.4" thickBot="1">
      <c r="A56" s="1382" t="s">
        <v>22</v>
      </c>
      <c r="B56" s="250" t="s">
        <v>131</v>
      </c>
      <c r="C56" s="254">
        <v>111</v>
      </c>
      <c r="D56" s="254">
        <v>127</v>
      </c>
      <c r="E56" s="254">
        <v>105</v>
      </c>
      <c r="F56" s="254">
        <v>112</v>
      </c>
      <c r="G56" s="254">
        <v>85</v>
      </c>
      <c r="H56" s="254">
        <v>73</v>
      </c>
      <c r="I56" s="254">
        <v>122</v>
      </c>
      <c r="J56" s="254">
        <v>110</v>
      </c>
      <c r="K56" s="254">
        <v>114</v>
      </c>
      <c r="L56" s="254">
        <v>155</v>
      </c>
      <c r="M56" s="254">
        <v>109</v>
      </c>
      <c r="N56" s="254">
        <v>88</v>
      </c>
      <c r="O56" s="254">
        <v>61</v>
      </c>
      <c r="P56" s="254">
        <v>46</v>
      </c>
      <c r="Q56" s="254">
        <v>26</v>
      </c>
      <c r="R56" s="254">
        <v>19</v>
      </c>
      <c r="S56" s="254">
        <v>13</v>
      </c>
      <c r="T56" s="254">
        <v>6</v>
      </c>
      <c r="U56" s="254">
        <v>3</v>
      </c>
      <c r="V56" s="261">
        <v>1</v>
      </c>
      <c r="W56" s="270">
        <v>180.55083999999999</v>
      </c>
      <c r="X56" s="254">
        <v>207.91063700000001</v>
      </c>
      <c r="Y56" s="254">
        <v>171.44037300000002</v>
      </c>
      <c r="Z56" s="254">
        <v>108.35311899999999</v>
      </c>
      <c r="AA56" s="254">
        <v>57.912887999999995</v>
      </c>
      <c r="AB56" s="254">
        <v>75.810241000000005</v>
      </c>
      <c r="AC56" s="254">
        <v>165.98132699999999</v>
      </c>
      <c r="AD56" s="254">
        <v>225.82930500000001</v>
      </c>
      <c r="AE56" s="254">
        <v>176.57703100000001</v>
      </c>
      <c r="AF56" s="254">
        <v>133.04145</v>
      </c>
      <c r="AG56" s="254">
        <v>109.63160000000001</v>
      </c>
      <c r="AH56" s="254">
        <v>149.70878099999999</v>
      </c>
      <c r="AI56" s="254">
        <v>97.301698999999999</v>
      </c>
      <c r="AJ56" s="254">
        <v>75.591182000000003</v>
      </c>
      <c r="AK56" s="254">
        <v>46.660162</v>
      </c>
      <c r="AL56" s="254">
        <v>26.891006000000001</v>
      </c>
      <c r="AM56" s="254">
        <v>23.697212</v>
      </c>
      <c r="AN56" s="254">
        <v>7.2152120000000011</v>
      </c>
      <c r="AO56" s="254">
        <v>3.0570789999999999</v>
      </c>
      <c r="AP56" s="271">
        <v>0</v>
      </c>
      <c r="AQ56" s="281">
        <v>157.67876625700001</v>
      </c>
      <c r="AR56" s="282">
        <v>209.05708243999999</v>
      </c>
      <c r="AS56" s="282">
        <v>192.03544051</v>
      </c>
      <c r="AT56" s="282">
        <v>152.83695970999997</v>
      </c>
      <c r="AU56" s="282">
        <v>72.234143826000007</v>
      </c>
      <c r="AV56" s="282">
        <v>68.476098026800003</v>
      </c>
      <c r="AW56" s="282">
        <v>128.78661564999999</v>
      </c>
      <c r="AX56" s="282">
        <v>178.88559855600002</v>
      </c>
      <c r="AY56" s="282">
        <v>224.254445971</v>
      </c>
      <c r="AZ56" s="282">
        <v>165.82432139800002</v>
      </c>
      <c r="BA56" s="282">
        <v>126.58799511199999</v>
      </c>
      <c r="BB56" s="282">
        <v>119.53738389599999</v>
      </c>
      <c r="BC56" s="282">
        <v>144.94677153699999</v>
      </c>
      <c r="BD56" s="282">
        <v>95.09440966599999</v>
      </c>
      <c r="BE56" s="282">
        <v>69.556947201</v>
      </c>
      <c r="BF56" s="282">
        <v>50.111433355500004</v>
      </c>
      <c r="BG56" s="282">
        <v>22.5417325381</v>
      </c>
      <c r="BH56" s="282">
        <v>21.415187507899997</v>
      </c>
      <c r="BI56" s="282">
        <v>8.0863739674000001</v>
      </c>
      <c r="BJ56" s="283">
        <v>2.0398505177999997</v>
      </c>
    </row>
    <row r="57" spans="1:62">
      <c r="A57" s="1383"/>
      <c r="B57" s="252" t="s">
        <v>132</v>
      </c>
      <c r="C57" s="255">
        <v>94</v>
      </c>
      <c r="D57" s="255">
        <v>105</v>
      </c>
      <c r="E57" s="255">
        <v>106</v>
      </c>
      <c r="F57" s="255">
        <v>118</v>
      </c>
      <c r="G57" s="255">
        <v>72</v>
      </c>
      <c r="H57" s="255">
        <v>92</v>
      </c>
      <c r="I57" s="255">
        <v>132</v>
      </c>
      <c r="J57" s="255">
        <v>118</v>
      </c>
      <c r="K57" s="255">
        <v>121</v>
      </c>
      <c r="L57" s="255">
        <v>146</v>
      </c>
      <c r="M57" s="255">
        <v>114</v>
      </c>
      <c r="N57" s="255">
        <v>75</v>
      </c>
      <c r="O57" s="255">
        <v>55</v>
      </c>
      <c r="P57" s="255">
        <v>31</v>
      </c>
      <c r="Q57" s="255">
        <v>44</v>
      </c>
      <c r="R57" s="255">
        <v>32</v>
      </c>
      <c r="S57" s="255">
        <v>32</v>
      </c>
      <c r="T57" s="255">
        <v>29</v>
      </c>
      <c r="U57" s="255">
        <v>16</v>
      </c>
      <c r="V57" s="262">
        <v>4</v>
      </c>
      <c r="W57" s="272">
        <v>184.122727</v>
      </c>
      <c r="X57" s="255">
        <v>189.91943800000001</v>
      </c>
      <c r="Y57" s="255">
        <v>116.254284</v>
      </c>
      <c r="Z57" s="255">
        <v>107.69056099999999</v>
      </c>
      <c r="AA57" s="255">
        <v>59.031951000000007</v>
      </c>
      <c r="AB57" s="255">
        <v>114.66268699999999</v>
      </c>
      <c r="AC57" s="255">
        <v>200.57673600000001</v>
      </c>
      <c r="AD57" s="255">
        <v>208.20646199999999</v>
      </c>
      <c r="AE57" s="255">
        <v>189.02051</v>
      </c>
      <c r="AF57" s="255">
        <v>109.86719000000001</v>
      </c>
      <c r="AG57" s="255">
        <v>126.59756999999999</v>
      </c>
      <c r="AH57" s="255">
        <v>133.64737199999999</v>
      </c>
      <c r="AI57" s="255">
        <v>130.68740600000001</v>
      </c>
      <c r="AJ57" s="255">
        <v>55.853214000000001</v>
      </c>
      <c r="AK57" s="255">
        <v>43.613692</v>
      </c>
      <c r="AL57" s="255">
        <v>35.246800999999998</v>
      </c>
      <c r="AM57" s="255">
        <v>33.081489999999995</v>
      </c>
      <c r="AN57" s="255">
        <v>17.374393999999999</v>
      </c>
      <c r="AO57" s="255">
        <v>16.282893000000001</v>
      </c>
      <c r="AP57" s="273">
        <v>8.1014759999999999</v>
      </c>
      <c r="AQ57" s="284">
        <v>136.161470055</v>
      </c>
      <c r="AR57" s="285">
        <v>168.004531821</v>
      </c>
      <c r="AS57" s="285">
        <v>178.14738605100001</v>
      </c>
      <c r="AT57" s="285">
        <v>107.30465273000002</v>
      </c>
      <c r="AU57" s="285">
        <v>70.781543311600004</v>
      </c>
      <c r="AV57" s="285">
        <v>83.539662129999996</v>
      </c>
      <c r="AW57" s="285">
        <v>156.42783586000002</v>
      </c>
      <c r="AX57" s="285">
        <v>193.935509677</v>
      </c>
      <c r="AY57" s="285">
        <v>210.24289145500001</v>
      </c>
      <c r="AZ57" s="285">
        <v>172.516622923</v>
      </c>
      <c r="BA57" s="285">
        <v>117.31825685000001</v>
      </c>
      <c r="BB57" s="285">
        <v>127.34960229000001</v>
      </c>
      <c r="BC57" s="285">
        <v>132.11611018799999</v>
      </c>
      <c r="BD57" s="285">
        <v>125.16180547499999</v>
      </c>
      <c r="BE57" s="285">
        <v>62.475804940700002</v>
      </c>
      <c r="BF57" s="285">
        <v>46.150461326900007</v>
      </c>
      <c r="BG57" s="285">
        <v>36.843235662399998</v>
      </c>
      <c r="BH57" s="285">
        <v>30.469958585500002</v>
      </c>
      <c r="BI57" s="285">
        <v>13.021593491899999</v>
      </c>
      <c r="BJ57" s="286">
        <v>5.0435075288000002</v>
      </c>
    </row>
    <row r="58" spans="1:62" ht="14.4" thickBot="1">
      <c r="A58" s="1382" t="s">
        <v>19</v>
      </c>
      <c r="B58" s="250" t="s">
        <v>161</v>
      </c>
      <c r="C58" s="251">
        <v>130</v>
      </c>
      <c r="D58" s="251">
        <v>157</v>
      </c>
      <c r="E58" s="251">
        <v>193</v>
      </c>
      <c r="F58" s="251">
        <v>160</v>
      </c>
      <c r="G58" s="251">
        <v>113</v>
      </c>
      <c r="H58" s="251">
        <v>143</v>
      </c>
      <c r="I58" s="251">
        <v>126</v>
      </c>
      <c r="J58" s="251">
        <v>170</v>
      </c>
      <c r="K58" s="251">
        <v>181</v>
      </c>
      <c r="L58" s="251">
        <v>201</v>
      </c>
      <c r="M58" s="251">
        <v>193</v>
      </c>
      <c r="N58" s="251">
        <v>146</v>
      </c>
      <c r="O58" s="251">
        <v>122</v>
      </c>
      <c r="P58" s="251">
        <v>89</v>
      </c>
      <c r="Q58" s="251">
        <v>73</v>
      </c>
      <c r="R58" s="251">
        <v>52</v>
      </c>
      <c r="S58" s="251">
        <v>14</v>
      </c>
      <c r="T58" s="251">
        <v>17</v>
      </c>
      <c r="U58" s="251">
        <v>5</v>
      </c>
      <c r="V58" s="259">
        <v>0</v>
      </c>
      <c r="W58" s="266">
        <v>148.73933799999998</v>
      </c>
      <c r="X58" s="251">
        <v>153.66347299999998</v>
      </c>
      <c r="Y58" s="251">
        <v>161.55732599999999</v>
      </c>
      <c r="Z58" s="251">
        <v>126.07307900000001</v>
      </c>
      <c r="AA58" s="251">
        <v>118.22494400000001</v>
      </c>
      <c r="AB58" s="251">
        <v>124.10342499999999</v>
      </c>
      <c r="AC58" s="251">
        <v>126.07307999999999</v>
      </c>
      <c r="AD58" s="251">
        <v>173.34476899999999</v>
      </c>
      <c r="AE58" s="251">
        <v>142.79989599999999</v>
      </c>
      <c r="AF58" s="251">
        <v>173.34476899999999</v>
      </c>
      <c r="AG58" s="251">
        <v>187.11710500000001</v>
      </c>
      <c r="AH58" s="251">
        <v>175.299182</v>
      </c>
      <c r="AI58" s="251">
        <v>201.90474800000001</v>
      </c>
      <c r="AJ58" s="251">
        <v>153.63299099999998</v>
      </c>
      <c r="AK58" s="251">
        <v>124.088185</v>
      </c>
      <c r="AL58" s="251">
        <v>78.786149999999992</v>
      </c>
      <c r="AM58" s="251">
        <v>40.377901999999999</v>
      </c>
      <c r="AN58" s="251">
        <v>25.605496999999996</v>
      </c>
      <c r="AO58" s="251">
        <v>9.8482689999999984</v>
      </c>
      <c r="AP58" s="267">
        <v>2.9544809999999999</v>
      </c>
      <c r="AQ58" s="266">
        <v>170.87952086199999</v>
      </c>
      <c r="AR58" s="251">
        <v>172.80800244799997</v>
      </c>
      <c r="AS58" s="251">
        <v>161.09382474700001</v>
      </c>
      <c r="AT58" s="251">
        <v>162.04612485999999</v>
      </c>
      <c r="AU58" s="251">
        <v>114.23711394400001</v>
      </c>
      <c r="AV58" s="251">
        <v>124.97511016999999</v>
      </c>
      <c r="AW58" s="251">
        <v>155.23673589800001</v>
      </c>
      <c r="AX58" s="251">
        <v>164.974669285</v>
      </c>
      <c r="AY58" s="251">
        <v>183.52211731200001</v>
      </c>
      <c r="AZ58" s="251">
        <v>151.30812863399998</v>
      </c>
      <c r="BA58" s="251">
        <v>166.92703223499998</v>
      </c>
      <c r="BB58" s="251">
        <v>183.52211731</v>
      </c>
      <c r="BC58" s="251">
        <v>156.18903600900001</v>
      </c>
      <c r="BD58" s="251">
        <v>184.49829878599996</v>
      </c>
      <c r="BE58" s="251">
        <v>129.83213618299999</v>
      </c>
      <c r="BF58" s="251">
        <v>104.451417831</v>
      </c>
      <c r="BG58" s="251">
        <v>56.642406917000002</v>
      </c>
      <c r="BH58" s="251">
        <v>21.475992451300002</v>
      </c>
      <c r="BI58" s="251">
        <v>14.642722125899997</v>
      </c>
      <c r="BJ58" s="267">
        <v>2.9285444252000001</v>
      </c>
    </row>
    <row r="59" spans="1:62">
      <c r="A59" s="1383"/>
      <c r="B59" s="252" t="s">
        <v>162</v>
      </c>
      <c r="C59" s="253">
        <v>125</v>
      </c>
      <c r="D59" s="253">
        <v>151</v>
      </c>
      <c r="E59" s="253">
        <v>172</v>
      </c>
      <c r="F59" s="253">
        <v>175</v>
      </c>
      <c r="G59" s="253">
        <v>128</v>
      </c>
      <c r="H59" s="253">
        <v>150</v>
      </c>
      <c r="I59" s="253">
        <v>157</v>
      </c>
      <c r="J59" s="253">
        <v>169</v>
      </c>
      <c r="K59" s="253">
        <v>205</v>
      </c>
      <c r="L59" s="253">
        <v>215</v>
      </c>
      <c r="M59" s="253">
        <v>183</v>
      </c>
      <c r="N59" s="253">
        <v>138</v>
      </c>
      <c r="O59" s="253">
        <v>107</v>
      </c>
      <c r="P59" s="253">
        <v>90</v>
      </c>
      <c r="Q59" s="253">
        <v>83</v>
      </c>
      <c r="R59" s="253">
        <v>57</v>
      </c>
      <c r="S59" s="253">
        <v>28</v>
      </c>
      <c r="T59" s="253">
        <v>20</v>
      </c>
      <c r="U59" s="253">
        <v>5</v>
      </c>
      <c r="V59" s="260">
        <v>0</v>
      </c>
      <c r="W59" s="268">
        <v>144.830511</v>
      </c>
      <c r="X59" s="253">
        <v>158.55712700000001</v>
      </c>
      <c r="Y59" s="253">
        <v>151.67857900000001</v>
      </c>
      <c r="Z59" s="253">
        <v>127.08838599999999</v>
      </c>
      <c r="AA59" s="253">
        <v>120.17935899999999</v>
      </c>
      <c r="AB59" s="253">
        <v>118.19446399999998</v>
      </c>
      <c r="AC59" s="253">
        <v>148.739338</v>
      </c>
      <c r="AD59" s="253">
        <v>169.405461</v>
      </c>
      <c r="AE59" s="253">
        <v>178.26890400000002</v>
      </c>
      <c r="AF59" s="253">
        <v>159.54195299999998</v>
      </c>
      <c r="AG59" s="253">
        <v>180.22331700000001</v>
      </c>
      <c r="AH59" s="253">
        <v>199.93509299999999</v>
      </c>
      <c r="AI59" s="253">
        <v>217.646737</v>
      </c>
      <c r="AJ59" s="253">
        <v>143.78472200000002</v>
      </c>
      <c r="AK59" s="253">
        <v>94.543380000000013</v>
      </c>
      <c r="AL59" s="253">
        <v>83.725525000000005</v>
      </c>
      <c r="AM59" s="253">
        <v>64.013745999999998</v>
      </c>
      <c r="AN59" s="253">
        <v>40.377902000000006</v>
      </c>
      <c r="AO59" s="253">
        <v>14.772402999999999</v>
      </c>
      <c r="AP59" s="269">
        <v>2.9544809999999999</v>
      </c>
      <c r="AQ59" s="268">
        <v>169.87945802300001</v>
      </c>
      <c r="AR59" s="253">
        <v>170.90340222399999</v>
      </c>
      <c r="AS59" s="253">
        <v>179.617391411</v>
      </c>
      <c r="AT59" s="253">
        <v>144.47485830900001</v>
      </c>
      <c r="AU59" s="253">
        <v>113.284813832</v>
      </c>
      <c r="AV59" s="253">
        <v>141.57019524699999</v>
      </c>
      <c r="AW59" s="253">
        <v>147.42728409700001</v>
      </c>
      <c r="AX59" s="253">
        <v>170.83175813599999</v>
      </c>
      <c r="AY59" s="253">
        <v>182.54593583600001</v>
      </c>
      <c r="AZ59" s="253">
        <v>171.80793961000001</v>
      </c>
      <c r="BA59" s="253">
        <v>165.95085076000001</v>
      </c>
      <c r="BB59" s="253">
        <v>191.35545047399998</v>
      </c>
      <c r="BC59" s="253">
        <v>201.09338386100001</v>
      </c>
      <c r="BD59" s="253">
        <v>204.04580965</v>
      </c>
      <c r="BE59" s="253">
        <v>137.64158798299999</v>
      </c>
      <c r="BF59" s="253">
        <v>84.927788329999998</v>
      </c>
      <c r="BG59" s="253">
        <v>71.261247679999997</v>
      </c>
      <c r="BH59" s="253">
        <v>47.832892278599999</v>
      </c>
      <c r="BI59" s="253">
        <v>21.475992451199996</v>
      </c>
      <c r="BJ59" s="269">
        <v>4.8809073752999996</v>
      </c>
    </row>
    <row r="60" spans="1:62" ht="14.4" thickBot="1">
      <c r="A60" s="1382" t="s">
        <v>34</v>
      </c>
      <c r="B60" s="250" t="s">
        <v>147</v>
      </c>
      <c r="C60" s="254">
        <v>37</v>
      </c>
      <c r="D60" s="254">
        <v>30</v>
      </c>
      <c r="E60" s="254">
        <v>33</v>
      </c>
      <c r="F60" s="254">
        <v>40</v>
      </c>
      <c r="G60" s="254">
        <v>24</v>
      </c>
      <c r="H60" s="254">
        <v>28</v>
      </c>
      <c r="I60" s="254">
        <v>37</v>
      </c>
      <c r="J60" s="254">
        <v>37</v>
      </c>
      <c r="K60" s="254">
        <v>45</v>
      </c>
      <c r="L60" s="254">
        <v>41</v>
      </c>
      <c r="M60" s="254">
        <v>23</v>
      </c>
      <c r="N60" s="254">
        <v>17</v>
      </c>
      <c r="O60" s="254">
        <v>19</v>
      </c>
      <c r="P60" s="254">
        <v>20</v>
      </c>
      <c r="Q60" s="254">
        <v>22</v>
      </c>
      <c r="R60" s="254">
        <v>14</v>
      </c>
      <c r="S60" s="254">
        <v>6</v>
      </c>
      <c r="T60" s="254">
        <v>6</v>
      </c>
      <c r="U60" s="254">
        <v>2</v>
      </c>
      <c r="V60" s="261">
        <v>1</v>
      </c>
      <c r="W60" s="270">
        <v>51.812725</v>
      </c>
      <c r="X60" s="254">
        <v>53.767921999999999</v>
      </c>
      <c r="Y60" s="254">
        <v>33.238351999999999</v>
      </c>
      <c r="Z60" s="254">
        <v>22.484767000000002</v>
      </c>
      <c r="AA60" s="254">
        <v>22.484766</v>
      </c>
      <c r="AB60" s="254">
        <v>32.260752999999994</v>
      </c>
      <c r="AC60" s="254">
        <v>43.991935999999995</v>
      </c>
      <c r="AD60" s="254">
        <v>45.947134000000005</v>
      </c>
      <c r="AE60" s="254">
        <v>48.879929000000004</v>
      </c>
      <c r="AF60" s="254">
        <v>33.238351999999999</v>
      </c>
      <c r="AG60" s="254">
        <v>41.059139000000002</v>
      </c>
      <c r="AH60" s="254">
        <v>35.193548</v>
      </c>
      <c r="AI60" s="254">
        <v>34.215950000000007</v>
      </c>
      <c r="AJ60" s="254">
        <v>18.574373000000001</v>
      </c>
      <c r="AK60" s="254">
        <v>9.7759859999999996</v>
      </c>
      <c r="AL60" s="254">
        <v>11.731183</v>
      </c>
      <c r="AM60" s="254">
        <v>15.641577999999999</v>
      </c>
      <c r="AN60" s="254">
        <v>5.8655919999999995</v>
      </c>
      <c r="AO60" s="254">
        <v>0.977599</v>
      </c>
      <c r="AP60" s="271">
        <v>0</v>
      </c>
      <c r="AQ60" s="281">
        <v>43</v>
      </c>
      <c r="AR60" s="282">
        <v>46</v>
      </c>
      <c r="AS60" s="282">
        <v>49</v>
      </c>
      <c r="AT60" s="282">
        <v>35</v>
      </c>
      <c r="AU60" s="282">
        <v>13</v>
      </c>
      <c r="AV60" s="282">
        <v>20</v>
      </c>
      <c r="AW60" s="282">
        <v>33</v>
      </c>
      <c r="AX60" s="282">
        <v>50</v>
      </c>
      <c r="AY60" s="282">
        <v>49</v>
      </c>
      <c r="AZ60" s="282">
        <v>43</v>
      </c>
      <c r="BA60" s="282">
        <v>37</v>
      </c>
      <c r="BB60" s="282">
        <v>44</v>
      </c>
      <c r="BC60" s="282">
        <v>38</v>
      </c>
      <c r="BD60" s="282">
        <v>33</v>
      </c>
      <c r="BE60" s="282">
        <v>15</v>
      </c>
      <c r="BF60" s="282">
        <v>9</v>
      </c>
      <c r="BG60" s="282">
        <v>7</v>
      </c>
      <c r="BH60" s="282">
        <v>8</v>
      </c>
      <c r="BI60" s="282">
        <v>4</v>
      </c>
      <c r="BJ60" s="283">
        <v>0</v>
      </c>
    </row>
    <row r="61" spans="1:62">
      <c r="A61" s="1383"/>
      <c r="B61" s="252" t="s">
        <v>148</v>
      </c>
      <c r="C61" s="255">
        <v>23</v>
      </c>
      <c r="D61" s="255">
        <v>39</v>
      </c>
      <c r="E61" s="255">
        <v>33</v>
      </c>
      <c r="F61" s="255">
        <v>26</v>
      </c>
      <c r="G61" s="255">
        <v>19</v>
      </c>
      <c r="H61" s="255">
        <v>32</v>
      </c>
      <c r="I61" s="255">
        <v>42</v>
      </c>
      <c r="J61" s="255">
        <v>40</v>
      </c>
      <c r="K61" s="255">
        <v>40</v>
      </c>
      <c r="L61" s="255">
        <v>32</v>
      </c>
      <c r="M61" s="255">
        <v>27</v>
      </c>
      <c r="N61" s="255">
        <v>15</v>
      </c>
      <c r="O61" s="255">
        <v>21</v>
      </c>
      <c r="P61" s="255">
        <v>24</v>
      </c>
      <c r="Q61" s="255">
        <v>23</v>
      </c>
      <c r="R61" s="255">
        <v>23</v>
      </c>
      <c r="S61" s="255">
        <v>3</v>
      </c>
      <c r="T61" s="255">
        <v>3</v>
      </c>
      <c r="U61" s="255">
        <v>2</v>
      </c>
      <c r="V61" s="262">
        <v>0</v>
      </c>
      <c r="W61" s="272">
        <v>36.171146</v>
      </c>
      <c r="X61" s="255">
        <v>48.879927999999992</v>
      </c>
      <c r="Y61" s="255">
        <v>26.395162000000003</v>
      </c>
      <c r="Z61" s="255">
        <v>17.596774</v>
      </c>
      <c r="AA61" s="255">
        <v>18.574373000000001</v>
      </c>
      <c r="AB61" s="255">
        <v>30.305556000000003</v>
      </c>
      <c r="AC61" s="255">
        <v>44.969533999999996</v>
      </c>
      <c r="AD61" s="255">
        <v>53.767920000000004</v>
      </c>
      <c r="AE61" s="255">
        <v>35.193548999999997</v>
      </c>
      <c r="AF61" s="255">
        <v>32.260753999999999</v>
      </c>
      <c r="AG61" s="255">
        <v>41.059139999999999</v>
      </c>
      <c r="AH61" s="255">
        <v>39.103943999999998</v>
      </c>
      <c r="AI61" s="255">
        <v>26.395161000000002</v>
      </c>
      <c r="AJ61" s="255">
        <v>19.551971999999999</v>
      </c>
      <c r="AK61" s="255">
        <v>10.753584999999999</v>
      </c>
      <c r="AL61" s="255">
        <v>18.574371999999997</v>
      </c>
      <c r="AM61" s="255">
        <v>16.619176000000003</v>
      </c>
      <c r="AN61" s="255">
        <v>11.731183</v>
      </c>
      <c r="AO61" s="255">
        <v>1.9551970000000001</v>
      </c>
      <c r="AP61" s="273">
        <v>0</v>
      </c>
      <c r="AQ61" s="284">
        <v>28</v>
      </c>
      <c r="AR61" s="285">
        <v>41</v>
      </c>
      <c r="AS61" s="285">
        <v>52</v>
      </c>
      <c r="AT61" s="285">
        <v>15</v>
      </c>
      <c r="AU61" s="285">
        <v>20</v>
      </c>
      <c r="AV61" s="285">
        <v>17</v>
      </c>
      <c r="AW61" s="285">
        <v>33</v>
      </c>
      <c r="AX61" s="285">
        <v>50</v>
      </c>
      <c r="AY61" s="285">
        <v>57</v>
      </c>
      <c r="AZ61" s="285">
        <v>39</v>
      </c>
      <c r="BA61" s="285">
        <v>38</v>
      </c>
      <c r="BB61" s="285">
        <v>39</v>
      </c>
      <c r="BC61" s="285">
        <v>40</v>
      </c>
      <c r="BD61" s="285">
        <v>26</v>
      </c>
      <c r="BE61" s="285">
        <v>19</v>
      </c>
      <c r="BF61" s="285">
        <v>11</v>
      </c>
      <c r="BG61" s="285">
        <v>15</v>
      </c>
      <c r="BH61" s="285">
        <v>12</v>
      </c>
      <c r="BI61" s="285">
        <v>6</v>
      </c>
      <c r="BJ61" s="286">
        <v>1</v>
      </c>
    </row>
    <row r="62" spans="1:62" ht="14.4" thickBot="1">
      <c r="A62" s="1382" t="s">
        <v>35</v>
      </c>
      <c r="B62" s="250" t="s">
        <v>149</v>
      </c>
      <c r="C62" s="251">
        <v>120</v>
      </c>
      <c r="D62" s="251">
        <v>147</v>
      </c>
      <c r="E62" s="251">
        <v>126</v>
      </c>
      <c r="F62" s="251">
        <v>110</v>
      </c>
      <c r="G62" s="251">
        <v>87</v>
      </c>
      <c r="H62" s="251">
        <v>104</v>
      </c>
      <c r="I62" s="251">
        <v>124</v>
      </c>
      <c r="J62" s="251">
        <v>142</v>
      </c>
      <c r="K62" s="251">
        <v>151</v>
      </c>
      <c r="L62" s="251">
        <v>140</v>
      </c>
      <c r="M62" s="251">
        <v>110</v>
      </c>
      <c r="N62" s="251">
        <v>73</v>
      </c>
      <c r="O62" s="251">
        <v>50</v>
      </c>
      <c r="P62" s="251">
        <v>50</v>
      </c>
      <c r="Q62" s="251">
        <v>37</v>
      </c>
      <c r="R62" s="251">
        <v>41</v>
      </c>
      <c r="S62" s="251">
        <v>12</v>
      </c>
      <c r="T62" s="251">
        <v>13</v>
      </c>
      <c r="U62" s="251">
        <v>6</v>
      </c>
      <c r="V62" s="259">
        <v>1</v>
      </c>
      <c r="W62" s="266">
        <v>153.04383900000002</v>
      </c>
      <c r="X62" s="251">
        <v>168.44447699999998</v>
      </c>
      <c r="Y62" s="251">
        <v>145.34352100000001</v>
      </c>
      <c r="Z62" s="251">
        <v>123.20510300000001</v>
      </c>
      <c r="AA62" s="251">
        <v>84.703508999999997</v>
      </c>
      <c r="AB62" s="251">
        <v>91.441288</v>
      </c>
      <c r="AC62" s="251">
        <v>148.23114000000001</v>
      </c>
      <c r="AD62" s="251">
        <v>154.968918</v>
      </c>
      <c r="AE62" s="251">
        <v>177.107336</v>
      </c>
      <c r="AF62" s="251">
        <v>175.182256</v>
      </c>
      <c r="AG62" s="251">
        <v>132.83050299999999</v>
      </c>
      <c r="AH62" s="251">
        <v>126.09272199999998</v>
      </c>
      <c r="AI62" s="251">
        <v>92.403827000000007</v>
      </c>
      <c r="AJ62" s="251">
        <v>83.740968000000009</v>
      </c>
      <c r="AK62" s="251">
        <v>41.389215</v>
      </c>
      <c r="AL62" s="251">
        <v>42.368300000000005</v>
      </c>
      <c r="AM62" s="251">
        <v>22.138418000000001</v>
      </c>
      <c r="AN62" s="251">
        <v>17.358808000000003</v>
      </c>
      <c r="AO62" s="251">
        <v>11.666297</v>
      </c>
      <c r="AP62" s="267">
        <v>0.97908499999999998</v>
      </c>
      <c r="AQ62" s="266">
        <v>133.18499107</v>
      </c>
      <c r="AR62" s="251">
        <v>177.904039165</v>
      </c>
      <c r="AS62" s="251">
        <v>177.626270143</v>
      </c>
      <c r="AT62" s="251">
        <v>138.21237255400001</v>
      </c>
      <c r="AU62" s="251">
        <v>82.633023656000006</v>
      </c>
      <c r="AV62" s="251">
        <v>101.10393482699999</v>
      </c>
      <c r="AW62" s="251">
        <v>117.630539559</v>
      </c>
      <c r="AX62" s="251">
        <v>169.154660189</v>
      </c>
      <c r="AY62" s="251">
        <v>151.65590223999999</v>
      </c>
      <c r="AZ62" s="251">
        <v>182.764805263</v>
      </c>
      <c r="BA62" s="251">
        <v>172.07111984900001</v>
      </c>
      <c r="BB62" s="251">
        <v>124.43561209500001</v>
      </c>
      <c r="BC62" s="251">
        <v>132.21283785100002</v>
      </c>
      <c r="BD62" s="251">
        <v>94.298862290999992</v>
      </c>
      <c r="BE62" s="251">
        <v>72.873538090000011</v>
      </c>
      <c r="BF62" s="251">
        <v>40.792481846700007</v>
      </c>
      <c r="BG62" s="251">
        <v>40.754528475800001</v>
      </c>
      <c r="BH62" s="251">
        <v>17.384897836799997</v>
      </c>
      <c r="BI62" s="251">
        <v>6.6912124226000005</v>
      </c>
      <c r="BJ62" s="267">
        <v>0.9721532195</v>
      </c>
    </row>
    <row r="63" spans="1:62">
      <c r="A63" s="1383"/>
      <c r="B63" s="252" t="s">
        <v>150</v>
      </c>
      <c r="C63" s="253">
        <v>124</v>
      </c>
      <c r="D63" s="253">
        <v>132</v>
      </c>
      <c r="E63" s="253">
        <v>110</v>
      </c>
      <c r="F63" s="253">
        <v>131</v>
      </c>
      <c r="G63" s="253">
        <v>75</v>
      </c>
      <c r="H63" s="253">
        <v>101</v>
      </c>
      <c r="I63" s="253">
        <v>161</v>
      </c>
      <c r="J63" s="253">
        <v>155</v>
      </c>
      <c r="K63" s="253">
        <v>134</v>
      </c>
      <c r="L63" s="253">
        <v>111</v>
      </c>
      <c r="M63" s="253">
        <v>92</v>
      </c>
      <c r="N63" s="253">
        <v>62</v>
      </c>
      <c r="O63" s="253">
        <v>42</v>
      </c>
      <c r="P63" s="253">
        <v>48</v>
      </c>
      <c r="Q63" s="253">
        <v>51</v>
      </c>
      <c r="R63" s="253">
        <v>51</v>
      </c>
      <c r="S63" s="253">
        <v>30</v>
      </c>
      <c r="T63" s="253">
        <v>34</v>
      </c>
      <c r="U63" s="253">
        <v>13</v>
      </c>
      <c r="V63" s="260">
        <v>4</v>
      </c>
      <c r="W63" s="268">
        <v>149.193681</v>
      </c>
      <c r="X63" s="253">
        <v>168.44447699999998</v>
      </c>
      <c r="Y63" s="253">
        <v>156.89400000000001</v>
      </c>
      <c r="Z63" s="253">
        <v>96.253986999999995</v>
      </c>
      <c r="AA63" s="253">
        <v>81.815888999999999</v>
      </c>
      <c r="AB63" s="253">
        <v>107.80446599999999</v>
      </c>
      <c r="AC63" s="253">
        <v>158.835624</v>
      </c>
      <c r="AD63" s="253">
        <v>161.70669799999999</v>
      </c>
      <c r="AE63" s="253">
        <v>173.25717600000002</v>
      </c>
      <c r="AF63" s="253">
        <v>155.93146000000002</v>
      </c>
      <c r="AG63" s="253">
        <v>133.79304200000001</v>
      </c>
      <c r="AH63" s="253">
        <v>113.59624899999999</v>
      </c>
      <c r="AI63" s="253">
        <v>95.307991999999985</v>
      </c>
      <c r="AJ63" s="253">
        <v>73.153030000000001</v>
      </c>
      <c r="AK63" s="253">
        <v>46.251551000000006</v>
      </c>
      <c r="AL63" s="253">
        <v>43.347384999999996</v>
      </c>
      <c r="AM63" s="253">
        <v>37.638328000000001</v>
      </c>
      <c r="AN63" s="253">
        <v>38.849049999999998</v>
      </c>
      <c r="AO63" s="253">
        <v>18.453711999999999</v>
      </c>
      <c r="AP63" s="269">
        <v>7.8326820000000001</v>
      </c>
      <c r="AQ63" s="268">
        <v>158.46097477700002</v>
      </c>
      <c r="AR63" s="253">
        <v>143.87867648299999</v>
      </c>
      <c r="AS63" s="253">
        <v>157.48882155699999</v>
      </c>
      <c r="AT63" s="253">
        <v>141.93437004500001</v>
      </c>
      <c r="AU63" s="253">
        <v>73.883644680999993</v>
      </c>
      <c r="AV63" s="253">
        <v>111.79762024</v>
      </c>
      <c r="AW63" s="253">
        <v>144.85082970400001</v>
      </c>
      <c r="AX63" s="253">
        <v>163.32174087299998</v>
      </c>
      <c r="AY63" s="253">
        <v>174.01542628699997</v>
      </c>
      <c r="AZ63" s="253">
        <v>162.349587654</v>
      </c>
      <c r="BA63" s="253">
        <v>152.62805545999998</v>
      </c>
      <c r="BB63" s="253">
        <v>126.37991853300001</v>
      </c>
      <c r="BC63" s="253">
        <v>131.20273125900002</v>
      </c>
      <c r="BD63" s="253">
        <v>89.400142821000003</v>
      </c>
      <c r="BE63" s="253">
        <v>76.72419759600001</v>
      </c>
      <c r="BF63" s="253">
        <v>40.830435218199995</v>
      </c>
      <c r="BG63" s="253">
        <v>40.488854876700003</v>
      </c>
      <c r="BH63" s="253">
        <v>37.192861504999996</v>
      </c>
      <c r="BI63" s="253">
        <v>28.2537156735</v>
      </c>
      <c r="BJ63" s="269">
        <v>8.5596121189000005</v>
      </c>
    </row>
    <row r="64" spans="1:62" ht="14.4" thickBot="1">
      <c r="A64" s="1382" t="s">
        <v>36</v>
      </c>
      <c r="B64" s="250" t="s">
        <v>151</v>
      </c>
      <c r="C64" s="254">
        <v>45</v>
      </c>
      <c r="D64" s="254">
        <v>41</v>
      </c>
      <c r="E64" s="254">
        <v>54</v>
      </c>
      <c r="F64" s="254">
        <v>69</v>
      </c>
      <c r="G64" s="254">
        <v>43</v>
      </c>
      <c r="H64" s="254">
        <v>37</v>
      </c>
      <c r="I64" s="254">
        <v>51</v>
      </c>
      <c r="J64" s="254">
        <v>55</v>
      </c>
      <c r="K64" s="254">
        <v>54</v>
      </c>
      <c r="L64" s="254">
        <v>63</v>
      </c>
      <c r="M64" s="254">
        <v>45</v>
      </c>
      <c r="N64" s="254">
        <v>29</v>
      </c>
      <c r="O64" s="254">
        <v>31</v>
      </c>
      <c r="P64" s="254">
        <v>24</v>
      </c>
      <c r="Q64" s="254">
        <v>35</v>
      </c>
      <c r="R64" s="254">
        <v>21</v>
      </c>
      <c r="S64" s="254">
        <v>10</v>
      </c>
      <c r="T64" s="254">
        <v>3</v>
      </c>
      <c r="U64" s="254">
        <v>3</v>
      </c>
      <c r="V64" s="261">
        <v>0</v>
      </c>
      <c r="W64" s="270">
        <v>50.723634999999994</v>
      </c>
      <c r="X64" s="254">
        <v>54.701957999999991</v>
      </c>
      <c r="Y64" s="254">
        <v>66.612842999999998</v>
      </c>
      <c r="Z64" s="254">
        <v>59.482155999999996</v>
      </c>
      <c r="AA64" s="254">
        <v>30.711569000000004</v>
      </c>
      <c r="AB64" s="254">
        <v>36.606791000000001</v>
      </c>
      <c r="AC64" s="254">
        <v>44.707971000000001</v>
      </c>
      <c r="AD64" s="254">
        <v>69.57249800000001</v>
      </c>
      <c r="AE64" s="254">
        <v>59.650774999999996</v>
      </c>
      <c r="AF64" s="254">
        <v>59.674863999999999</v>
      </c>
      <c r="AG64" s="254">
        <v>55.696541000000003</v>
      </c>
      <c r="AH64" s="254">
        <v>59.674865000000004</v>
      </c>
      <c r="AI64" s="254">
        <v>44.756149000000001</v>
      </c>
      <c r="AJ64" s="254">
        <v>22.875363</v>
      </c>
      <c r="AK64" s="254">
        <v>23.869944</v>
      </c>
      <c r="AL64" s="254">
        <v>17.902457999999999</v>
      </c>
      <c r="AM64" s="254">
        <v>15.913296000000001</v>
      </c>
      <c r="AN64" s="254">
        <v>9.9458099999999998</v>
      </c>
      <c r="AO64" s="254">
        <v>0.99458100000000005</v>
      </c>
      <c r="AP64" s="271">
        <v>0.99458100000000005</v>
      </c>
      <c r="AQ64" s="281">
        <v>51.111937904900003</v>
      </c>
      <c r="AR64" s="282">
        <v>60.941156731699998</v>
      </c>
      <c r="AS64" s="282">
        <v>58.975312967000008</v>
      </c>
      <c r="AT64" s="282">
        <v>59.958234850499998</v>
      </c>
      <c r="AU64" s="282">
        <v>33.419344014700002</v>
      </c>
      <c r="AV64" s="282">
        <v>30.663815967399998</v>
      </c>
      <c r="AW64" s="282">
        <v>50.9103333642</v>
      </c>
      <c r="AX64" s="282">
        <v>57.202706801799998</v>
      </c>
      <c r="AY64" s="282">
        <v>71.946535044000001</v>
      </c>
      <c r="AZ64" s="282">
        <v>60.546314592300007</v>
      </c>
      <c r="BA64" s="282">
        <v>63.889922381299996</v>
      </c>
      <c r="BB64" s="282">
        <v>51.1119379047</v>
      </c>
      <c r="BC64" s="282">
        <v>48.163172257100001</v>
      </c>
      <c r="BD64" s="282">
        <v>43.2485628429</v>
      </c>
      <c r="BE64" s="282">
        <v>20.6413595386</v>
      </c>
      <c r="BF64" s="282">
        <v>21.624281421299997</v>
      </c>
      <c r="BG64" s="282">
        <v>14.743828241799999</v>
      </c>
      <c r="BH64" s="282">
        <v>8.8462969451000006</v>
      </c>
      <c r="BI64" s="282">
        <v>2.9487656484000002</v>
      </c>
      <c r="BJ64" s="283">
        <v>0</v>
      </c>
    </row>
    <row r="65" spans="1:62">
      <c r="A65" s="1383"/>
      <c r="B65" s="252" t="s">
        <v>152</v>
      </c>
      <c r="C65" s="255">
        <v>33</v>
      </c>
      <c r="D65" s="255">
        <v>41</v>
      </c>
      <c r="E65" s="255">
        <v>53</v>
      </c>
      <c r="F65" s="255">
        <v>44</v>
      </c>
      <c r="G65" s="255">
        <v>32</v>
      </c>
      <c r="H65" s="255">
        <v>35</v>
      </c>
      <c r="I65" s="255">
        <v>45</v>
      </c>
      <c r="J65" s="255">
        <v>55</v>
      </c>
      <c r="K65" s="255">
        <v>62</v>
      </c>
      <c r="L65" s="255">
        <v>71</v>
      </c>
      <c r="M65" s="255">
        <v>38</v>
      </c>
      <c r="N65" s="255">
        <v>32</v>
      </c>
      <c r="O65" s="255">
        <v>31</v>
      </c>
      <c r="P65" s="255">
        <v>33</v>
      </c>
      <c r="Q65" s="255">
        <v>38</v>
      </c>
      <c r="R65" s="255">
        <v>38</v>
      </c>
      <c r="S65" s="255">
        <v>13</v>
      </c>
      <c r="T65" s="255">
        <v>9</v>
      </c>
      <c r="U65" s="255">
        <v>1</v>
      </c>
      <c r="V65" s="262">
        <v>0</v>
      </c>
      <c r="W65" s="272">
        <v>59.674864999999997</v>
      </c>
      <c r="X65" s="255">
        <v>58.656193999999999</v>
      </c>
      <c r="Y65" s="255">
        <v>43.737478000000003</v>
      </c>
      <c r="Z65" s="255">
        <v>45.485755999999995</v>
      </c>
      <c r="AA65" s="255">
        <v>27.679650000000002</v>
      </c>
      <c r="AB65" s="255">
        <v>44.635705999999999</v>
      </c>
      <c r="AC65" s="255">
        <v>49.656789000000003</v>
      </c>
      <c r="AD65" s="255">
        <v>51.670038000000005</v>
      </c>
      <c r="AE65" s="255">
        <v>61.664025999999993</v>
      </c>
      <c r="AF65" s="255">
        <v>54.701959000000002</v>
      </c>
      <c r="AG65" s="255">
        <v>55.696539999999999</v>
      </c>
      <c r="AH65" s="255">
        <v>70.615254999999991</v>
      </c>
      <c r="AI65" s="255">
        <v>37.794080000000001</v>
      </c>
      <c r="AJ65" s="255">
        <v>33.815755000000003</v>
      </c>
      <c r="AK65" s="255">
        <v>20.886201</v>
      </c>
      <c r="AL65" s="255">
        <v>26.853688000000002</v>
      </c>
      <c r="AM65" s="255">
        <v>25.859106000000001</v>
      </c>
      <c r="AN65" s="255">
        <v>18.897038999999999</v>
      </c>
      <c r="AO65" s="255">
        <v>6.9620670000000002</v>
      </c>
      <c r="AP65" s="273">
        <v>1.9891620000000001</v>
      </c>
      <c r="AQ65" s="284">
        <v>57.009469202600002</v>
      </c>
      <c r="AR65" s="285">
        <v>61.924078615700004</v>
      </c>
      <c r="AS65" s="285">
        <v>70.770375560000005</v>
      </c>
      <c r="AT65" s="285">
        <v>38.333953428699999</v>
      </c>
      <c r="AU65" s="285">
        <v>21.624281421300001</v>
      </c>
      <c r="AV65" s="285">
        <v>33.024501873399998</v>
      </c>
      <c r="AW65" s="285">
        <v>67.813242973800001</v>
      </c>
      <c r="AX65" s="285">
        <v>59.7566303101</v>
      </c>
      <c r="AY65" s="285">
        <v>55.236863036700001</v>
      </c>
      <c r="AZ65" s="285">
        <v>62.907000498900004</v>
      </c>
      <c r="BA65" s="285">
        <v>57.0094692017</v>
      </c>
      <c r="BB65" s="285">
        <v>47.180250373300005</v>
      </c>
      <c r="BC65" s="285">
        <v>65.855766146299999</v>
      </c>
      <c r="BD65" s="285">
        <v>32.436422131899995</v>
      </c>
      <c r="BE65" s="285">
        <v>31.453500249099999</v>
      </c>
      <c r="BF65" s="285">
        <v>18.675515773000001</v>
      </c>
      <c r="BG65" s="285">
        <v>23.590125186799998</v>
      </c>
      <c r="BH65" s="285">
        <v>18.675515772900003</v>
      </c>
      <c r="BI65" s="285">
        <v>7.8633750624000003</v>
      </c>
      <c r="BJ65" s="286">
        <v>1.9658437656000001</v>
      </c>
    </row>
    <row r="66" spans="1:62" ht="14.4" thickBot="1">
      <c r="A66" s="1382" t="s">
        <v>37</v>
      </c>
      <c r="B66" s="250" t="s">
        <v>168</v>
      </c>
      <c r="C66" s="251">
        <v>93</v>
      </c>
      <c r="D66" s="251">
        <v>60</v>
      </c>
      <c r="E66" s="251">
        <v>66</v>
      </c>
      <c r="F66" s="251">
        <v>70</v>
      </c>
      <c r="G66" s="251">
        <v>63</v>
      </c>
      <c r="H66" s="251">
        <v>69</v>
      </c>
      <c r="I66" s="251">
        <v>87</v>
      </c>
      <c r="J66" s="251">
        <v>90</v>
      </c>
      <c r="K66" s="251">
        <v>75</v>
      </c>
      <c r="L66" s="251">
        <v>99</v>
      </c>
      <c r="M66" s="251">
        <v>81</v>
      </c>
      <c r="N66" s="251">
        <v>51</v>
      </c>
      <c r="O66" s="251">
        <v>56</v>
      </c>
      <c r="P66" s="251">
        <v>54</v>
      </c>
      <c r="Q66" s="251">
        <v>49</v>
      </c>
      <c r="R66" s="251">
        <v>61</v>
      </c>
      <c r="S66" s="251">
        <v>16</v>
      </c>
      <c r="T66" s="251">
        <v>21</v>
      </c>
      <c r="U66" s="251">
        <v>12</v>
      </c>
      <c r="V66" s="259">
        <v>0</v>
      </c>
      <c r="W66" s="266">
        <v>80.827442000000005</v>
      </c>
      <c r="X66" s="251">
        <v>100.02644599999999</v>
      </c>
      <c r="Y66" s="251">
        <v>109.46451900000001</v>
      </c>
      <c r="Z66" s="251">
        <v>81.171248999999989</v>
      </c>
      <c r="AA66" s="251">
        <v>41.085625</v>
      </c>
      <c r="AB66" s="251">
        <v>53.555118000000007</v>
      </c>
      <c r="AC66" s="251">
        <v>61.638910999999993</v>
      </c>
      <c r="AD66" s="251">
        <v>96.328358000000009</v>
      </c>
      <c r="AE66" s="251">
        <v>111.14166</v>
      </c>
      <c r="AF66" s="251">
        <v>99.015973000000017</v>
      </c>
      <c r="AG66" s="251">
        <v>95.984550999999996</v>
      </c>
      <c r="AH66" s="251">
        <v>80.827440999999993</v>
      </c>
      <c r="AI66" s="251">
        <v>87.911232999999996</v>
      </c>
      <c r="AJ66" s="251">
        <v>64.638908999999998</v>
      </c>
      <c r="AK66" s="251">
        <v>43.439906000000001</v>
      </c>
      <c r="AL66" s="251">
        <v>40.398011000000004</v>
      </c>
      <c r="AM66" s="251">
        <v>29.532339</v>
      </c>
      <c r="AN66" s="251">
        <v>30.261849999999999</v>
      </c>
      <c r="AO66" s="251">
        <v>15.094266000000001</v>
      </c>
      <c r="AP66" s="267">
        <v>0</v>
      </c>
      <c r="AQ66" s="266">
        <v>59.694423224199994</v>
      </c>
      <c r="AR66" s="251">
        <v>83.572192514000008</v>
      </c>
      <c r="AS66" s="251">
        <v>110.43468296500001</v>
      </c>
      <c r="AT66" s="251">
        <v>98.495798318999988</v>
      </c>
      <c r="AU66" s="251">
        <v>60.6893302776</v>
      </c>
      <c r="AV66" s="251">
        <v>45.765724470900004</v>
      </c>
      <c r="AW66" s="251">
        <v>60.6893302768</v>
      </c>
      <c r="AX66" s="251">
        <v>61.684237331700004</v>
      </c>
      <c r="AY66" s="251">
        <v>97.500891265999996</v>
      </c>
      <c r="AZ66" s="251">
        <v>109.444868857</v>
      </c>
      <c r="BA66" s="251">
        <v>102.47542653399999</v>
      </c>
      <c r="BB66" s="251">
        <v>90.536541890000009</v>
      </c>
      <c r="BC66" s="251">
        <v>80.587471350999991</v>
      </c>
      <c r="BD66" s="251">
        <v>77.602750189999995</v>
      </c>
      <c r="BE66" s="251">
        <v>61.693346341300007</v>
      </c>
      <c r="BF66" s="251">
        <v>41.804314277899998</v>
      </c>
      <c r="BG66" s="251">
        <v>31.855243740300004</v>
      </c>
      <c r="BH66" s="251">
        <v>16.940746945099999</v>
      </c>
      <c r="BI66" s="251">
        <v>10.9713046227</v>
      </c>
      <c r="BJ66" s="267">
        <v>4.9927532896999995</v>
      </c>
    </row>
    <row r="67" spans="1:62">
      <c r="A67" s="1383"/>
      <c r="B67" s="252" t="s">
        <v>167</v>
      </c>
      <c r="C67" s="253">
        <v>77</v>
      </c>
      <c r="D67" s="253">
        <v>68</v>
      </c>
      <c r="E67" s="253">
        <v>65</v>
      </c>
      <c r="F67" s="253">
        <v>74</v>
      </c>
      <c r="G67" s="253">
        <v>57</v>
      </c>
      <c r="H67" s="253">
        <v>66</v>
      </c>
      <c r="I67" s="253">
        <v>93</v>
      </c>
      <c r="J67" s="253">
        <v>83</v>
      </c>
      <c r="K67" s="253">
        <v>76</v>
      </c>
      <c r="L67" s="253">
        <v>91</v>
      </c>
      <c r="M67" s="253">
        <v>72</v>
      </c>
      <c r="N67" s="253">
        <v>54</v>
      </c>
      <c r="O67" s="253">
        <v>61</v>
      </c>
      <c r="P67" s="253">
        <v>56</v>
      </c>
      <c r="Q67" s="253">
        <v>81</v>
      </c>
      <c r="R67" s="253">
        <v>68</v>
      </c>
      <c r="S67" s="253">
        <v>41</v>
      </c>
      <c r="T67" s="253">
        <v>54</v>
      </c>
      <c r="U67" s="253">
        <v>26</v>
      </c>
      <c r="V67" s="260">
        <v>15</v>
      </c>
      <c r="W67" s="268">
        <v>67.691280000000006</v>
      </c>
      <c r="X67" s="253">
        <v>66.014139999999998</v>
      </c>
      <c r="Y67" s="253">
        <v>98.682638999999995</v>
      </c>
      <c r="Z67" s="253">
        <v>80.827440999999993</v>
      </c>
      <c r="AA67" s="253">
        <v>34.356114999999996</v>
      </c>
      <c r="AB67" s="253">
        <v>52.877978999999996</v>
      </c>
      <c r="AC67" s="253">
        <v>67.024614</v>
      </c>
      <c r="AD67" s="253">
        <v>94.640744000000012</v>
      </c>
      <c r="AE67" s="253">
        <v>110.474994</v>
      </c>
      <c r="AF67" s="253">
        <v>107.099765</v>
      </c>
      <c r="AG67" s="253">
        <v>90.265513999999996</v>
      </c>
      <c r="AH67" s="253">
        <v>71.733176</v>
      </c>
      <c r="AI67" s="253">
        <v>91.953129000000004</v>
      </c>
      <c r="AJ67" s="253">
        <v>61.638909999999996</v>
      </c>
      <c r="AK67" s="253">
        <v>52.534172000000005</v>
      </c>
      <c r="AL67" s="253">
        <v>56.558304999999997</v>
      </c>
      <c r="AM67" s="253">
        <v>54.648468000000001</v>
      </c>
      <c r="AN67" s="253">
        <v>62.474513000000002</v>
      </c>
      <c r="AO67" s="253">
        <v>17.062843999999998</v>
      </c>
      <c r="AP67" s="269">
        <v>17.097451999999997</v>
      </c>
      <c r="AQ67" s="268">
        <v>76.607843137100005</v>
      </c>
      <c r="AR67" s="253">
        <v>63.674051438100001</v>
      </c>
      <c r="AS67" s="253">
        <v>59.694423222899999</v>
      </c>
      <c r="AT67" s="253">
        <v>97.500891265999996</v>
      </c>
      <c r="AU67" s="253">
        <v>55.714795008599999</v>
      </c>
      <c r="AV67" s="253">
        <v>48.750445633300004</v>
      </c>
      <c r="AW67" s="253">
        <v>61.684237331200002</v>
      </c>
      <c r="AX67" s="253">
        <v>71.633307868000003</v>
      </c>
      <c r="AY67" s="253">
        <v>93.521263050000002</v>
      </c>
      <c r="AZ67" s="253">
        <v>113.41940412599999</v>
      </c>
      <c r="BA67" s="253">
        <v>110.434682964</v>
      </c>
      <c r="BB67" s="253">
        <v>80.587471351000005</v>
      </c>
      <c r="BC67" s="253">
        <v>89.541634835999986</v>
      </c>
      <c r="BD67" s="253">
        <v>86.566022683999989</v>
      </c>
      <c r="BE67" s="253">
        <v>57.7137181274</v>
      </c>
      <c r="BF67" s="253">
        <v>55.742122040300004</v>
      </c>
      <c r="BG67" s="253">
        <v>55.176731371700001</v>
      </c>
      <c r="BH67" s="253">
        <v>45.593414146000001</v>
      </c>
      <c r="BI67" s="253">
        <v>52.9851261425</v>
      </c>
      <c r="BJ67" s="269">
        <v>9.0270355678000005</v>
      </c>
    </row>
    <row r="68" spans="1:62" ht="14.4" thickBot="1">
      <c r="A68" s="1382" t="s">
        <v>38</v>
      </c>
      <c r="B68" s="250" t="s">
        <v>155</v>
      </c>
      <c r="C68" s="254">
        <v>90</v>
      </c>
      <c r="D68" s="254">
        <v>112</v>
      </c>
      <c r="E68" s="254">
        <v>117</v>
      </c>
      <c r="F68" s="254">
        <v>98</v>
      </c>
      <c r="G68" s="254">
        <v>78</v>
      </c>
      <c r="H68" s="254">
        <v>82</v>
      </c>
      <c r="I68" s="254">
        <v>114</v>
      </c>
      <c r="J68" s="254">
        <v>104</v>
      </c>
      <c r="K68" s="254">
        <v>128</v>
      </c>
      <c r="L68" s="254">
        <v>129</v>
      </c>
      <c r="M68" s="254">
        <v>103</v>
      </c>
      <c r="N68" s="254">
        <v>61</v>
      </c>
      <c r="O68" s="254">
        <v>65</v>
      </c>
      <c r="P68" s="254">
        <v>77</v>
      </c>
      <c r="Q68" s="254">
        <v>60</v>
      </c>
      <c r="R68" s="254">
        <v>57</v>
      </c>
      <c r="S68" s="254">
        <v>17</v>
      </c>
      <c r="T68" s="254">
        <v>13</v>
      </c>
      <c r="U68" s="254">
        <v>7</v>
      </c>
      <c r="V68" s="261">
        <v>2</v>
      </c>
      <c r="W68" s="270">
        <v>69.362873000000008</v>
      </c>
      <c r="X68" s="254">
        <v>101.531164</v>
      </c>
      <c r="Y68" s="254">
        <v>113.59427199999999</v>
      </c>
      <c r="Z68" s="254">
        <v>98.515386000000007</v>
      </c>
      <c r="AA68" s="254">
        <v>68.352355000000003</v>
      </c>
      <c r="AB68" s="254">
        <v>60.305022999999998</v>
      </c>
      <c r="AC68" s="254">
        <v>77.264271000000008</v>
      </c>
      <c r="AD68" s="254">
        <v>105.572728</v>
      </c>
      <c r="AE68" s="254">
        <v>102.81200799999999</v>
      </c>
      <c r="AF68" s="254">
        <v>121.19854000000001</v>
      </c>
      <c r="AG68" s="254">
        <v>109.01053300000001</v>
      </c>
      <c r="AH68" s="254">
        <v>136.58982300000002</v>
      </c>
      <c r="AI68" s="254">
        <v>122.65687199999999</v>
      </c>
      <c r="AJ68" s="254">
        <v>59.169606999999999</v>
      </c>
      <c r="AK68" s="254">
        <v>51.268209999999996</v>
      </c>
      <c r="AL68" s="254">
        <v>48.252433000000003</v>
      </c>
      <c r="AM68" s="254">
        <v>33.173546999999999</v>
      </c>
      <c r="AN68" s="254">
        <v>21.110439000000003</v>
      </c>
      <c r="AO68" s="254">
        <v>10.052589999999999</v>
      </c>
      <c r="AP68" s="271">
        <v>0</v>
      </c>
      <c r="AQ68" s="281">
        <v>85.930349277999994</v>
      </c>
      <c r="AR68" s="282">
        <v>90.840381907000008</v>
      </c>
      <c r="AS68" s="282">
        <v>109.595617742</v>
      </c>
      <c r="AT68" s="282">
        <v>94.801630483000011</v>
      </c>
      <c r="AU68" s="282">
        <v>76.651703217999994</v>
      </c>
      <c r="AV68" s="282">
        <v>71.110806268299996</v>
      </c>
      <c r="AW68" s="282">
        <v>80.920694562999998</v>
      </c>
      <c r="AX68" s="282">
        <v>102.601550714</v>
      </c>
      <c r="AY68" s="282">
        <v>106.54872096000001</v>
      </c>
      <c r="AZ68" s="282">
        <v>109.53562973699999</v>
      </c>
      <c r="BA68" s="282">
        <v>119.38125074199999</v>
      </c>
      <c r="BB68" s="282">
        <v>117.371282679</v>
      </c>
      <c r="BC68" s="282">
        <v>128.022756886</v>
      </c>
      <c r="BD68" s="282">
        <v>115.29872569699999</v>
      </c>
      <c r="BE68" s="282">
        <v>51.330119131999993</v>
      </c>
      <c r="BF68" s="282">
        <v>47.3944263044</v>
      </c>
      <c r="BG68" s="282">
        <v>41.458942376100005</v>
      </c>
      <c r="BH68" s="282">
        <v>22.703706538900001</v>
      </c>
      <c r="BI68" s="282">
        <v>9.8711767560000006</v>
      </c>
      <c r="BJ68" s="283">
        <v>5.9227060536000007</v>
      </c>
    </row>
    <row r="69" spans="1:62">
      <c r="A69" s="1383"/>
      <c r="B69" s="252" t="s">
        <v>156</v>
      </c>
      <c r="C69" s="255">
        <v>95</v>
      </c>
      <c r="D69" s="255">
        <v>84</v>
      </c>
      <c r="E69" s="255">
        <v>99</v>
      </c>
      <c r="F69" s="255">
        <v>112</v>
      </c>
      <c r="G69" s="255">
        <v>65</v>
      </c>
      <c r="H69" s="255">
        <v>90</v>
      </c>
      <c r="I69" s="255">
        <v>106</v>
      </c>
      <c r="J69" s="255">
        <v>106</v>
      </c>
      <c r="K69" s="255">
        <v>138</v>
      </c>
      <c r="L69" s="255">
        <v>123</v>
      </c>
      <c r="M69" s="255">
        <v>94</v>
      </c>
      <c r="N69" s="255">
        <v>61</v>
      </c>
      <c r="O69" s="255">
        <v>73</v>
      </c>
      <c r="P69" s="255">
        <v>82</v>
      </c>
      <c r="Q69" s="255">
        <v>75</v>
      </c>
      <c r="R69" s="255">
        <v>77</v>
      </c>
      <c r="S69" s="255">
        <v>21</v>
      </c>
      <c r="T69" s="255">
        <v>22</v>
      </c>
      <c r="U69" s="255">
        <v>8</v>
      </c>
      <c r="V69" s="262">
        <v>3</v>
      </c>
      <c r="W69" s="272">
        <v>71.373390999999998</v>
      </c>
      <c r="X69" s="255">
        <v>86.452277999999993</v>
      </c>
      <c r="Y69" s="255">
        <v>104.54694099999999</v>
      </c>
      <c r="Z69" s="255">
        <v>106.55745900000001</v>
      </c>
      <c r="AA69" s="255">
        <v>45.231396000000004</v>
      </c>
      <c r="AB69" s="255">
        <v>72.237975000000006</v>
      </c>
      <c r="AC69" s="255">
        <v>70.227457000000001</v>
      </c>
      <c r="AD69" s="255">
        <v>90.775193999999999</v>
      </c>
      <c r="AE69" s="255">
        <v>130.834362</v>
      </c>
      <c r="AF69" s="255">
        <v>116.182762</v>
      </c>
      <c r="AG69" s="255">
        <v>127.82910099999999</v>
      </c>
      <c r="AH69" s="255">
        <v>143.18407999999999</v>
      </c>
      <c r="AI69" s="255">
        <v>105.270848</v>
      </c>
      <c r="AJ69" s="255">
        <v>59.305023999999996</v>
      </c>
      <c r="AK69" s="255">
        <v>56.294505999999998</v>
      </c>
      <c r="AL69" s="255">
        <v>61.320800999999989</v>
      </c>
      <c r="AM69" s="255">
        <v>54.283985999999999</v>
      </c>
      <c r="AN69" s="255">
        <v>34.178805999999994</v>
      </c>
      <c r="AO69" s="255">
        <v>21.110439</v>
      </c>
      <c r="AP69" s="273">
        <v>2.0105179999999998</v>
      </c>
      <c r="AQ69" s="284">
        <v>79.020525547899993</v>
      </c>
      <c r="AR69" s="285">
        <v>104.71114086400001</v>
      </c>
      <c r="AS69" s="285">
        <v>93.801734931999988</v>
      </c>
      <c r="AT69" s="285">
        <v>82.930662627000004</v>
      </c>
      <c r="AU69" s="285">
        <v>64.163949370300003</v>
      </c>
      <c r="AV69" s="285">
        <v>54.318328364199999</v>
      </c>
      <c r="AW69" s="285">
        <v>89.829008936000008</v>
      </c>
      <c r="AX69" s="285">
        <v>87.879028880000007</v>
      </c>
      <c r="AY69" s="285">
        <v>115.44425746</v>
      </c>
      <c r="AZ69" s="285">
        <v>123.34249932</v>
      </c>
      <c r="BA69" s="285">
        <v>109.547107154</v>
      </c>
      <c r="BB69" s="285">
        <v>126.15702012900002</v>
      </c>
      <c r="BC69" s="285">
        <v>142.02366881999998</v>
      </c>
      <c r="BD69" s="285">
        <v>112.38588325800001</v>
      </c>
      <c r="BE69" s="285">
        <v>58.239942860900001</v>
      </c>
      <c r="BF69" s="285">
        <v>49.355883780900001</v>
      </c>
      <c r="BG69" s="285">
        <v>56.265707510600002</v>
      </c>
      <c r="BH69" s="285">
        <v>28.626412592800001</v>
      </c>
      <c r="BI69" s="285">
        <v>18.755235836600001</v>
      </c>
      <c r="BJ69" s="286">
        <v>6.9098237292000002</v>
      </c>
    </row>
    <row r="70" spans="1:62" ht="14.4" thickBot="1">
      <c r="A70" s="1389" t="s">
        <v>307</v>
      </c>
      <c r="B70" s="279" t="s">
        <v>382</v>
      </c>
      <c r="C70" s="275">
        <f>C50+C52+C54+C56+C58+C60+C62+C64+C66+C68</f>
        <v>1132</v>
      </c>
      <c r="D70" s="275">
        <f t="shared" ref="D70:BJ70" si="6">D50+D52+D54+D56+D58+D60+D62+D64+D66+D68</f>
        <v>1290</v>
      </c>
      <c r="E70" s="275">
        <f t="shared" si="6"/>
        <v>1298</v>
      </c>
      <c r="F70" s="275">
        <f t="shared" si="6"/>
        <v>1154</v>
      </c>
      <c r="G70" s="275">
        <f t="shared" si="6"/>
        <v>852</v>
      </c>
      <c r="H70" s="275">
        <f t="shared" si="6"/>
        <v>894</v>
      </c>
      <c r="I70" s="275">
        <f t="shared" si="6"/>
        <v>1185</v>
      </c>
      <c r="J70" s="275">
        <f t="shared" si="6"/>
        <v>1273</v>
      </c>
      <c r="K70" s="275">
        <f t="shared" si="6"/>
        <v>1378</v>
      </c>
      <c r="L70" s="275">
        <f t="shared" si="6"/>
        <v>1435</v>
      </c>
      <c r="M70" s="275">
        <f t="shared" si="6"/>
        <v>1167</v>
      </c>
      <c r="N70" s="275">
        <f t="shared" si="6"/>
        <v>815</v>
      </c>
      <c r="O70" s="275">
        <f t="shared" si="6"/>
        <v>729</v>
      </c>
      <c r="P70" s="275">
        <f t="shared" si="6"/>
        <v>614</v>
      </c>
      <c r="Q70" s="275">
        <f t="shared" si="6"/>
        <v>487</v>
      </c>
      <c r="R70" s="275">
        <f t="shared" si="6"/>
        <v>411</v>
      </c>
      <c r="S70" s="275">
        <f t="shared" si="6"/>
        <v>163</v>
      </c>
      <c r="T70" s="275">
        <f t="shared" si="6"/>
        <v>130</v>
      </c>
      <c r="U70" s="275">
        <f t="shared" si="6"/>
        <v>58</v>
      </c>
      <c r="V70" s="276">
        <f t="shared" si="6"/>
        <v>10</v>
      </c>
      <c r="W70" s="275">
        <f t="shared" si="6"/>
        <v>1234.370073</v>
      </c>
      <c r="X70" s="275">
        <f t="shared" si="6"/>
        <v>1436.4595879999999</v>
      </c>
      <c r="Y70" s="275">
        <f t="shared" si="6"/>
        <v>1446.9963360000004</v>
      </c>
      <c r="Z70" s="275">
        <f t="shared" si="6"/>
        <v>1152.8810020000001</v>
      </c>
      <c r="AA70" s="275">
        <f t="shared" si="6"/>
        <v>770.31314600000007</v>
      </c>
      <c r="AB70" s="275">
        <f t="shared" si="6"/>
        <v>854.00262600000008</v>
      </c>
      <c r="AC70" s="275">
        <f t="shared" si="6"/>
        <v>1100.705473</v>
      </c>
      <c r="AD70" s="275">
        <f t="shared" si="6"/>
        <v>1489.2851640000001</v>
      </c>
      <c r="AE70" s="275">
        <f t="shared" si="6"/>
        <v>1447.8709309999999</v>
      </c>
      <c r="AF70" s="275">
        <f t="shared" si="6"/>
        <v>1392.572887</v>
      </c>
      <c r="AG70" s="275">
        <f t="shared" si="6"/>
        <v>1274.2321810000003</v>
      </c>
      <c r="AH70" s="275">
        <f t="shared" si="6"/>
        <v>1384.8696649999999</v>
      </c>
      <c r="AI70" s="275">
        <f t="shared" si="6"/>
        <v>1153.1831240000001</v>
      </c>
      <c r="AJ70" s="275">
        <f t="shared" si="6"/>
        <v>816.69436500000018</v>
      </c>
      <c r="AK70" s="275">
        <f t="shared" si="6"/>
        <v>596.0073779999999</v>
      </c>
      <c r="AL70" s="275">
        <f t="shared" si="6"/>
        <v>448.02142400000002</v>
      </c>
      <c r="AM70" s="275">
        <f t="shared" si="6"/>
        <v>302.61151599999999</v>
      </c>
      <c r="AN70" s="275">
        <f t="shared" si="6"/>
        <v>180.50272700000005</v>
      </c>
      <c r="AO70" s="275">
        <f t="shared" si="6"/>
        <v>72.36284599999999</v>
      </c>
      <c r="AP70" s="276">
        <f t="shared" si="6"/>
        <v>6.0039879999999997</v>
      </c>
      <c r="AQ70" s="275">
        <f t="shared" si="6"/>
        <v>1172.6278569450001</v>
      </c>
      <c r="AR70" s="275">
        <f t="shared" si="6"/>
        <v>1445.4991740467001</v>
      </c>
      <c r="AS70" s="275">
        <f t="shared" si="6"/>
        <v>1425.5673841060002</v>
      </c>
      <c r="AT70" s="275">
        <f t="shared" si="6"/>
        <v>1242.2521406276999</v>
      </c>
      <c r="AU70" s="275">
        <f t="shared" si="6"/>
        <v>776.76427391239997</v>
      </c>
      <c r="AV70" s="275">
        <f t="shared" si="6"/>
        <v>790.7757051957999</v>
      </c>
      <c r="AW70" s="275">
        <f t="shared" si="6"/>
        <v>1008.634708269</v>
      </c>
      <c r="AX70" s="275">
        <f t="shared" si="6"/>
        <v>1262.7779372525001</v>
      </c>
      <c r="AY70" s="275">
        <f t="shared" si="6"/>
        <v>1513.0506366490001</v>
      </c>
      <c r="AZ70" s="275">
        <f t="shared" si="6"/>
        <v>1424.5618268633</v>
      </c>
      <c r="BA70" s="275">
        <f t="shared" si="6"/>
        <v>1329.3628586553</v>
      </c>
      <c r="BB70" s="275">
        <f t="shared" si="6"/>
        <v>1357.2908444346999</v>
      </c>
      <c r="BC70" s="275">
        <f t="shared" si="6"/>
        <v>1235.3260605811001</v>
      </c>
      <c r="BD70" s="275">
        <f t="shared" si="6"/>
        <v>1129.3814650941999</v>
      </c>
      <c r="BE70" s="275">
        <f t="shared" si="6"/>
        <v>704.78049646139993</v>
      </c>
      <c r="BF70" s="275">
        <f t="shared" si="6"/>
        <v>544.2428346749</v>
      </c>
      <c r="BG70" s="275">
        <f t="shared" si="6"/>
        <v>396.05359021750002</v>
      </c>
      <c r="BH70" s="275">
        <f t="shared" si="6"/>
        <v>203.74428146629998</v>
      </c>
      <c r="BI70" s="275">
        <f t="shared" si="6"/>
        <v>93.047667929399992</v>
      </c>
      <c r="BJ70" s="276">
        <f t="shared" si="6"/>
        <v>24.862364199399998</v>
      </c>
    </row>
    <row r="71" spans="1:62">
      <c r="A71" s="1390"/>
      <c r="B71" s="280" t="s">
        <v>383</v>
      </c>
      <c r="C71" s="277">
        <f>C51+C53+C55+C57+C59+C61+C63+C65+C67+C69</f>
        <v>1012</v>
      </c>
      <c r="D71" s="277">
        <f t="shared" ref="D71:BJ71" si="7">D51+D53+D55+D57+D59+D61+D63+D65+D67+D69</f>
        <v>1168</v>
      </c>
      <c r="E71" s="277">
        <f t="shared" si="7"/>
        <v>1196</v>
      </c>
      <c r="F71" s="277">
        <f t="shared" si="7"/>
        <v>1158</v>
      </c>
      <c r="G71" s="277">
        <f t="shared" si="7"/>
        <v>736</v>
      </c>
      <c r="H71" s="277">
        <f t="shared" si="7"/>
        <v>943</v>
      </c>
      <c r="I71" s="277">
        <f t="shared" si="7"/>
        <v>1273</v>
      </c>
      <c r="J71" s="277">
        <f t="shared" si="7"/>
        <v>1378</v>
      </c>
      <c r="K71" s="277">
        <f t="shared" si="7"/>
        <v>1389</v>
      </c>
      <c r="L71" s="277">
        <f t="shared" si="7"/>
        <v>1375</v>
      </c>
      <c r="M71" s="277">
        <f t="shared" si="7"/>
        <v>1120</v>
      </c>
      <c r="N71" s="277">
        <f t="shared" si="7"/>
        <v>779</v>
      </c>
      <c r="O71" s="277">
        <f t="shared" si="7"/>
        <v>658</v>
      </c>
      <c r="P71" s="277">
        <f t="shared" si="7"/>
        <v>648</v>
      </c>
      <c r="Q71" s="277">
        <f t="shared" si="7"/>
        <v>628</v>
      </c>
      <c r="R71" s="277">
        <f t="shared" si="7"/>
        <v>552</v>
      </c>
      <c r="S71" s="277">
        <f t="shared" si="7"/>
        <v>276</v>
      </c>
      <c r="T71" s="277">
        <f t="shared" si="7"/>
        <v>297</v>
      </c>
      <c r="U71" s="277">
        <f t="shared" si="7"/>
        <v>129</v>
      </c>
      <c r="V71" s="278">
        <f t="shared" si="7"/>
        <v>40</v>
      </c>
      <c r="W71" s="277">
        <f t="shared" si="7"/>
        <v>1132.9341079999999</v>
      </c>
      <c r="X71" s="277">
        <f t="shared" si="7"/>
        <v>1313.417479</v>
      </c>
      <c r="Y71" s="277">
        <f t="shared" si="7"/>
        <v>1201.7698789999999</v>
      </c>
      <c r="Z71" s="277">
        <f t="shared" si="7"/>
        <v>1108.8062030000001</v>
      </c>
      <c r="AA71" s="277">
        <f t="shared" si="7"/>
        <v>694.59030600000006</v>
      </c>
      <c r="AB71" s="277">
        <f t="shared" si="7"/>
        <v>885.44370700000002</v>
      </c>
      <c r="AC71" s="277">
        <f t="shared" si="7"/>
        <v>1193.458932</v>
      </c>
      <c r="AD71" s="277">
        <f t="shared" si="7"/>
        <v>1476.971266</v>
      </c>
      <c r="AE71" s="277">
        <f t="shared" si="7"/>
        <v>1515.96759</v>
      </c>
      <c r="AF71" s="277">
        <f t="shared" si="7"/>
        <v>1360.1390289999999</v>
      </c>
      <c r="AG71" s="277">
        <f t="shared" si="7"/>
        <v>1347.3623429999998</v>
      </c>
      <c r="AH71" s="277">
        <f t="shared" si="7"/>
        <v>1373.6561719999997</v>
      </c>
      <c r="AI71" s="277">
        <f t="shared" si="7"/>
        <v>1199.004363</v>
      </c>
      <c r="AJ71" s="277">
        <f t="shared" si="7"/>
        <v>790.15577799999983</v>
      </c>
      <c r="AK71" s="277">
        <f t="shared" si="7"/>
        <v>578.79452000000003</v>
      </c>
      <c r="AL71" s="277">
        <f t="shared" si="7"/>
        <v>558.06378699999993</v>
      </c>
      <c r="AM71" s="277">
        <f t="shared" si="7"/>
        <v>509.02173199999993</v>
      </c>
      <c r="AN71" s="277">
        <f t="shared" si="7"/>
        <v>365.51288</v>
      </c>
      <c r="AO71" s="277">
        <f t="shared" si="7"/>
        <v>160.49205999999998</v>
      </c>
      <c r="AP71" s="278">
        <f t="shared" si="7"/>
        <v>65.491439999999997</v>
      </c>
      <c r="AQ71" s="277">
        <f t="shared" si="7"/>
        <v>1157.5621241394001</v>
      </c>
      <c r="AR71" s="277">
        <f t="shared" si="7"/>
        <v>1257.3336920567999</v>
      </c>
      <c r="AS71" s="277">
        <f t="shared" si="7"/>
        <v>1401.9535581279001</v>
      </c>
      <c r="AT71" s="277">
        <f t="shared" si="7"/>
        <v>1076.1495874450002</v>
      </c>
      <c r="AU71" s="277">
        <f t="shared" si="7"/>
        <v>702.86877769620003</v>
      </c>
      <c r="AV71" s="277">
        <f t="shared" si="7"/>
        <v>831.7887957590001</v>
      </c>
      <c r="AW71" s="277">
        <f t="shared" si="7"/>
        <v>1163.7331128472999</v>
      </c>
      <c r="AX71" s="277">
        <f t="shared" si="7"/>
        <v>1296.2400774791001</v>
      </c>
      <c r="AY71" s="277">
        <f t="shared" si="7"/>
        <v>1531.4705203647002</v>
      </c>
      <c r="AZ71" s="277">
        <f t="shared" si="7"/>
        <v>1447.5750374559002</v>
      </c>
      <c r="BA71" s="277">
        <f t="shared" si="7"/>
        <v>1274.2817727047002</v>
      </c>
      <c r="BB71" s="277">
        <f t="shared" si="7"/>
        <v>1352.2217359932999</v>
      </c>
      <c r="BC71" s="277">
        <f t="shared" si="7"/>
        <v>1399.8015142643001</v>
      </c>
      <c r="BD71" s="277">
        <f t="shared" si="7"/>
        <v>1167.6778979019</v>
      </c>
      <c r="BE71" s="277">
        <f t="shared" si="7"/>
        <v>752.39135234119988</v>
      </c>
      <c r="BF71" s="277">
        <f t="shared" si="7"/>
        <v>576.79832945110002</v>
      </c>
      <c r="BG71" s="277">
        <f t="shared" si="7"/>
        <v>518.69462929010001</v>
      </c>
      <c r="BH71" s="277">
        <f t="shared" si="7"/>
        <v>390.20977798359996</v>
      </c>
      <c r="BI71" s="277">
        <f t="shared" si="7"/>
        <v>261.96063843859997</v>
      </c>
      <c r="BJ71" s="278">
        <f t="shared" si="7"/>
        <v>69.682960690199991</v>
      </c>
    </row>
    <row r="72" spans="1:62" ht="14.4" thickBot="1">
      <c r="A72" s="1382" t="s">
        <v>23</v>
      </c>
      <c r="B72" s="250" t="s">
        <v>159</v>
      </c>
      <c r="C72" s="251">
        <v>65</v>
      </c>
      <c r="D72" s="251">
        <v>80</v>
      </c>
      <c r="E72" s="251">
        <v>96</v>
      </c>
      <c r="F72" s="251">
        <v>97</v>
      </c>
      <c r="G72" s="251">
        <v>54</v>
      </c>
      <c r="H72" s="251">
        <v>46</v>
      </c>
      <c r="I72" s="251">
        <v>71</v>
      </c>
      <c r="J72" s="251">
        <v>88</v>
      </c>
      <c r="K72" s="251">
        <v>109</v>
      </c>
      <c r="L72" s="251">
        <v>89</v>
      </c>
      <c r="M72" s="251">
        <v>82</v>
      </c>
      <c r="N72" s="251">
        <v>46</v>
      </c>
      <c r="O72" s="251">
        <v>49</v>
      </c>
      <c r="P72" s="251">
        <v>48</v>
      </c>
      <c r="Q72" s="251">
        <v>29</v>
      </c>
      <c r="R72" s="251">
        <v>26</v>
      </c>
      <c r="S72" s="251">
        <v>13</v>
      </c>
      <c r="T72" s="251">
        <v>6</v>
      </c>
      <c r="U72" s="251">
        <v>3</v>
      </c>
      <c r="V72" s="259">
        <v>1</v>
      </c>
      <c r="W72" s="266">
        <v>63</v>
      </c>
      <c r="X72" s="251">
        <v>95</v>
      </c>
      <c r="Y72" s="251">
        <v>89</v>
      </c>
      <c r="Z72" s="251">
        <v>83</v>
      </c>
      <c r="AA72" s="251">
        <v>46</v>
      </c>
      <c r="AB72" s="251">
        <v>45</v>
      </c>
      <c r="AC72" s="251">
        <v>56</v>
      </c>
      <c r="AD72" s="251">
        <v>92</v>
      </c>
      <c r="AE72" s="251">
        <v>107</v>
      </c>
      <c r="AF72" s="251">
        <v>92</v>
      </c>
      <c r="AG72" s="251">
        <v>102</v>
      </c>
      <c r="AH72" s="251">
        <v>93</v>
      </c>
      <c r="AI72" s="251">
        <v>82</v>
      </c>
      <c r="AJ72" s="251">
        <v>53</v>
      </c>
      <c r="AK72" s="251">
        <v>35</v>
      </c>
      <c r="AL72" s="251">
        <v>35</v>
      </c>
      <c r="AM72" s="251">
        <v>23</v>
      </c>
      <c r="AN72" s="251">
        <v>12</v>
      </c>
      <c r="AO72" s="251">
        <v>3</v>
      </c>
      <c r="AP72" s="267">
        <v>0</v>
      </c>
      <c r="AQ72" s="266">
        <v>77</v>
      </c>
      <c r="AR72" s="251">
        <v>79</v>
      </c>
      <c r="AS72" s="251">
        <v>106</v>
      </c>
      <c r="AT72" s="251">
        <v>83</v>
      </c>
      <c r="AU72" s="251">
        <v>51</v>
      </c>
      <c r="AV72" s="251">
        <v>41</v>
      </c>
      <c r="AW72" s="251">
        <v>66</v>
      </c>
      <c r="AX72" s="251">
        <v>87</v>
      </c>
      <c r="AY72" s="251">
        <v>97</v>
      </c>
      <c r="AZ72" s="251">
        <v>110</v>
      </c>
      <c r="BA72" s="251">
        <v>102</v>
      </c>
      <c r="BB72" s="251">
        <v>101</v>
      </c>
      <c r="BC72" s="251">
        <v>99</v>
      </c>
      <c r="BD72" s="251">
        <v>76</v>
      </c>
      <c r="BE72" s="251">
        <v>42</v>
      </c>
      <c r="BF72" s="251">
        <v>30</v>
      </c>
      <c r="BG72" s="251">
        <v>24</v>
      </c>
      <c r="BH72" s="251">
        <v>15</v>
      </c>
      <c r="BI72" s="251">
        <v>7</v>
      </c>
      <c r="BJ72" s="267">
        <v>1</v>
      </c>
    </row>
    <row r="73" spans="1:62">
      <c r="A73" s="1383"/>
      <c r="B73" s="252" t="s">
        <v>160</v>
      </c>
      <c r="C73" s="253">
        <v>66</v>
      </c>
      <c r="D73" s="253">
        <v>83</v>
      </c>
      <c r="E73" s="253">
        <v>90</v>
      </c>
      <c r="F73" s="253">
        <v>65</v>
      </c>
      <c r="G73" s="253">
        <v>41</v>
      </c>
      <c r="H73" s="253">
        <v>51</v>
      </c>
      <c r="I73" s="253">
        <v>89</v>
      </c>
      <c r="J73" s="253">
        <v>91</v>
      </c>
      <c r="K73" s="253">
        <v>103</v>
      </c>
      <c r="L73" s="253">
        <v>81</v>
      </c>
      <c r="M73" s="253">
        <v>76</v>
      </c>
      <c r="N73" s="253">
        <v>46</v>
      </c>
      <c r="O73" s="253">
        <v>44</v>
      </c>
      <c r="P73" s="253">
        <v>49</v>
      </c>
      <c r="Q73" s="253">
        <v>37</v>
      </c>
      <c r="R73" s="253">
        <v>36</v>
      </c>
      <c r="S73" s="253">
        <v>18</v>
      </c>
      <c r="T73" s="253">
        <v>16</v>
      </c>
      <c r="U73" s="253">
        <v>5</v>
      </c>
      <c r="V73" s="260">
        <v>0</v>
      </c>
      <c r="W73" s="268">
        <v>65</v>
      </c>
      <c r="X73" s="253">
        <v>71</v>
      </c>
      <c r="Y73" s="253">
        <v>97</v>
      </c>
      <c r="Z73" s="253">
        <v>103</v>
      </c>
      <c r="AA73" s="253">
        <v>48</v>
      </c>
      <c r="AB73" s="253">
        <v>51</v>
      </c>
      <c r="AC73" s="253">
        <v>51</v>
      </c>
      <c r="AD73" s="253">
        <v>93</v>
      </c>
      <c r="AE73" s="253">
        <v>128</v>
      </c>
      <c r="AF73" s="253">
        <v>103</v>
      </c>
      <c r="AG73" s="253">
        <v>105</v>
      </c>
      <c r="AH73" s="253">
        <v>84</v>
      </c>
      <c r="AI73" s="253">
        <v>87</v>
      </c>
      <c r="AJ73" s="253">
        <v>48</v>
      </c>
      <c r="AK73" s="253">
        <v>40</v>
      </c>
      <c r="AL73" s="253">
        <v>36</v>
      </c>
      <c r="AM73" s="253">
        <v>30</v>
      </c>
      <c r="AN73" s="253">
        <v>23</v>
      </c>
      <c r="AO73" s="253">
        <v>6</v>
      </c>
      <c r="AP73" s="269">
        <v>5</v>
      </c>
      <c r="AQ73" s="268">
        <v>66</v>
      </c>
      <c r="AR73" s="253">
        <v>71</v>
      </c>
      <c r="AS73" s="253">
        <v>80</v>
      </c>
      <c r="AT73" s="253">
        <v>94</v>
      </c>
      <c r="AU73" s="253">
        <v>48</v>
      </c>
      <c r="AV73" s="253">
        <v>58</v>
      </c>
      <c r="AW73" s="253">
        <v>75</v>
      </c>
      <c r="AX73" s="253">
        <v>62</v>
      </c>
      <c r="AY73" s="253">
        <v>104</v>
      </c>
      <c r="AZ73" s="253">
        <v>131</v>
      </c>
      <c r="BA73" s="253">
        <v>104</v>
      </c>
      <c r="BB73" s="253">
        <v>111</v>
      </c>
      <c r="BC73" s="253">
        <v>80</v>
      </c>
      <c r="BD73" s="253">
        <v>90</v>
      </c>
      <c r="BE73" s="253">
        <v>44</v>
      </c>
      <c r="BF73" s="253">
        <v>35</v>
      </c>
      <c r="BG73" s="253">
        <v>29</v>
      </c>
      <c r="BH73" s="253">
        <v>22</v>
      </c>
      <c r="BI73" s="253">
        <v>14</v>
      </c>
      <c r="BJ73" s="269">
        <v>3</v>
      </c>
    </row>
    <row r="74" spans="1:62" ht="14.4" thickBot="1">
      <c r="A74" s="1382" t="s">
        <v>311</v>
      </c>
      <c r="B74" s="250" t="s">
        <v>384</v>
      </c>
      <c r="C74" s="254">
        <v>91</v>
      </c>
      <c r="D74" s="254">
        <v>98</v>
      </c>
      <c r="E74" s="254">
        <v>115</v>
      </c>
      <c r="F74" s="254">
        <v>91</v>
      </c>
      <c r="G74" s="254">
        <v>71</v>
      </c>
      <c r="H74" s="254">
        <v>101</v>
      </c>
      <c r="I74" s="254">
        <v>118</v>
      </c>
      <c r="J74" s="254">
        <v>107</v>
      </c>
      <c r="K74" s="254">
        <v>110</v>
      </c>
      <c r="L74" s="254">
        <v>115</v>
      </c>
      <c r="M74" s="254">
        <v>93</v>
      </c>
      <c r="N74" s="254">
        <v>67</v>
      </c>
      <c r="O74" s="254">
        <v>93</v>
      </c>
      <c r="P74" s="254">
        <v>79</v>
      </c>
      <c r="Q74" s="254">
        <v>56</v>
      </c>
      <c r="R74" s="254">
        <v>51</v>
      </c>
      <c r="S74" s="254">
        <v>20</v>
      </c>
      <c r="T74" s="254">
        <v>18</v>
      </c>
      <c r="U74" s="254">
        <v>2</v>
      </c>
      <c r="V74" s="261">
        <v>4</v>
      </c>
      <c r="W74" s="270">
        <v>115.62109</v>
      </c>
      <c r="X74" s="254">
        <v>112.63089100000001</v>
      </c>
      <c r="Y74" s="254">
        <v>110.637424</v>
      </c>
      <c r="Z74" s="254">
        <v>92.696219000000013</v>
      </c>
      <c r="AA74" s="254">
        <v>107.98387400000001</v>
      </c>
      <c r="AB74" s="254">
        <v>89.725851000000006</v>
      </c>
      <c r="AC74" s="254">
        <v>93.362911999999994</v>
      </c>
      <c r="AD74" s="254">
        <v>115.29105</v>
      </c>
      <c r="AE74" s="254">
        <v>111.63415800000001</v>
      </c>
      <c r="AF74" s="254">
        <v>141.53616299999999</v>
      </c>
      <c r="AG74" s="254">
        <v>116.61782600000001</v>
      </c>
      <c r="AH74" s="254">
        <v>91.699486000000007</v>
      </c>
      <c r="AI74" s="254">
        <v>104.65702300000001</v>
      </c>
      <c r="AJ74" s="254">
        <v>64.787680999999992</v>
      </c>
      <c r="AK74" s="254">
        <v>66.781148000000002</v>
      </c>
      <c r="AL74" s="254">
        <v>64.787680999999992</v>
      </c>
      <c r="AM74" s="254">
        <v>36.879140999999997</v>
      </c>
      <c r="AN74" s="254">
        <v>22.924872000000001</v>
      </c>
      <c r="AO74" s="254">
        <v>2.9902009999999999</v>
      </c>
      <c r="AP74" s="271">
        <v>0</v>
      </c>
      <c r="AQ74" s="281">
        <v>91.136061829999989</v>
      </c>
      <c r="AR74" s="282">
        <v>125.18689812</v>
      </c>
      <c r="AS74" s="282">
        <v>115.17194626999999</v>
      </c>
      <c r="AT74" s="282">
        <v>118.790317957</v>
      </c>
      <c r="AU74" s="282">
        <v>69.103167760999995</v>
      </c>
      <c r="AV74" s="282">
        <v>75.774008580700013</v>
      </c>
      <c r="AW74" s="282">
        <v>114.82284011800002</v>
      </c>
      <c r="AX74" s="282">
        <v>105.82202435500001</v>
      </c>
      <c r="AY74" s="282">
        <v>112.165880602</v>
      </c>
      <c r="AZ74" s="282">
        <v>122.18241256500001</v>
      </c>
      <c r="BA74" s="282">
        <v>134.19877467200001</v>
      </c>
      <c r="BB74" s="282">
        <v>110.162890232</v>
      </c>
      <c r="BC74" s="282">
        <v>80.11961479499999</v>
      </c>
      <c r="BD74" s="282">
        <v>103.15400405</v>
      </c>
      <c r="BE74" s="282">
        <v>56.083730357500002</v>
      </c>
      <c r="BF74" s="282">
        <v>58.086720726300001</v>
      </c>
      <c r="BG74" s="282">
        <v>54.080739988300003</v>
      </c>
      <c r="BH74" s="282">
        <v>26.038874808899998</v>
      </c>
      <c r="BI74" s="282">
        <v>10.014951849699999</v>
      </c>
      <c r="BJ74" s="283">
        <v>2.00299037</v>
      </c>
    </row>
    <row r="75" spans="1:62">
      <c r="A75" s="1383"/>
      <c r="B75" s="252" t="s">
        <v>385</v>
      </c>
      <c r="C75" s="255">
        <v>86</v>
      </c>
      <c r="D75" s="255">
        <v>92</v>
      </c>
      <c r="E75" s="255">
        <v>116</v>
      </c>
      <c r="F75" s="255">
        <v>121</v>
      </c>
      <c r="G75" s="255">
        <v>65</v>
      </c>
      <c r="H75" s="255">
        <v>112</v>
      </c>
      <c r="I75" s="255">
        <v>110</v>
      </c>
      <c r="J75" s="255">
        <v>119</v>
      </c>
      <c r="K75" s="255">
        <v>116</v>
      </c>
      <c r="L75" s="255">
        <v>92</v>
      </c>
      <c r="M75" s="255">
        <v>109</v>
      </c>
      <c r="N75" s="255">
        <v>76</v>
      </c>
      <c r="O75" s="255">
        <v>97</v>
      </c>
      <c r="P75" s="255">
        <v>82</v>
      </c>
      <c r="Q75" s="255">
        <v>78</v>
      </c>
      <c r="R75" s="255">
        <v>67</v>
      </c>
      <c r="S75" s="255">
        <v>28</v>
      </c>
      <c r="T75" s="255">
        <v>22</v>
      </c>
      <c r="U75" s="255">
        <v>14</v>
      </c>
      <c r="V75" s="262">
        <v>4</v>
      </c>
      <c r="W75" s="272">
        <v>105.65375600000002</v>
      </c>
      <c r="X75" s="255">
        <v>113.62762400000001</v>
      </c>
      <c r="Y75" s="255">
        <v>106.65049</v>
      </c>
      <c r="Z75" s="255">
        <v>102.213397</v>
      </c>
      <c r="AA75" s="255">
        <v>87.389121000000003</v>
      </c>
      <c r="AB75" s="255">
        <v>78.741950000000003</v>
      </c>
      <c r="AC75" s="255">
        <v>107.317182</v>
      </c>
      <c r="AD75" s="255">
        <v>119.277985</v>
      </c>
      <c r="AE75" s="255">
        <v>131.568828</v>
      </c>
      <c r="AF75" s="255">
        <v>128.57862799999998</v>
      </c>
      <c r="AG75" s="255">
        <v>132.565562</v>
      </c>
      <c r="AH75" s="255">
        <v>87.712552000000002</v>
      </c>
      <c r="AI75" s="255">
        <v>109.640691</v>
      </c>
      <c r="AJ75" s="255">
        <v>72.761549000000002</v>
      </c>
      <c r="AK75" s="255">
        <v>88.709286000000006</v>
      </c>
      <c r="AL75" s="255">
        <v>77.745216999999997</v>
      </c>
      <c r="AM75" s="255">
        <v>61.797478999999996</v>
      </c>
      <c r="AN75" s="255">
        <v>44.853009999999998</v>
      </c>
      <c r="AO75" s="255">
        <v>12.957537</v>
      </c>
      <c r="AP75" s="273">
        <v>1.993468</v>
      </c>
      <c r="AQ75" s="284">
        <v>87.130081090000004</v>
      </c>
      <c r="AR75" s="285">
        <v>108.16147997499999</v>
      </c>
      <c r="AS75" s="285">
        <v>109.16297516</v>
      </c>
      <c r="AT75" s="285">
        <v>124.53508928400001</v>
      </c>
      <c r="AU75" s="285">
        <v>71.726364713999999</v>
      </c>
      <c r="AV75" s="285">
        <v>89.128331121999992</v>
      </c>
      <c r="AW75" s="285">
        <v>104.82210928299999</v>
      </c>
      <c r="AX75" s="285">
        <v>110.16289023200001</v>
      </c>
      <c r="AY75" s="285">
        <v>127.85491842499999</v>
      </c>
      <c r="AZ75" s="285">
        <v>103.15400405</v>
      </c>
      <c r="BA75" s="285">
        <v>116.17344145499999</v>
      </c>
      <c r="BB75" s="285">
        <v>125.18373789399999</v>
      </c>
      <c r="BC75" s="285">
        <v>94.140547384999991</v>
      </c>
      <c r="BD75" s="285">
        <v>107.15998479060001</v>
      </c>
      <c r="BE75" s="285">
        <v>68.101672576599995</v>
      </c>
      <c r="BF75" s="285">
        <v>74.110643686000003</v>
      </c>
      <c r="BG75" s="285">
        <v>73.109148501600004</v>
      </c>
      <c r="BH75" s="285">
        <v>42.062797767600003</v>
      </c>
      <c r="BI75" s="285">
        <v>10.014951849599999</v>
      </c>
      <c r="BJ75" s="286">
        <v>4.0059807399</v>
      </c>
    </row>
    <row r="76" spans="1:62" ht="14.4" thickBot="1">
      <c r="A76" s="1382" t="s">
        <v>312</v>
      </c>
      <c r="B76" s="250" t="s">
        <v>386</v>
      </c>
      <c r="C76" s="251">
        <v>27</v>
      </c>
      <c r="D76" s="251">
        <v>28</v>
      </c>
      <c r="E76" s="251">
        <v>19</v>
      </c>
      <c r="F76" s="251">
        <v>17</v>
      </c>
      <c r="G76" s="251">
        <v>10</v>
      </c>
      <c r="H76" s="251">
        <v>25</v>
      </c>
      <c r="I76" s="251">
        <v>36</v>
      </c>
      <c r="J76" s="251">
        <v>30</v>
      </c>
      <c r="K76" s="251">
        <v>22</v>
      </c>
      <c r="L76" s="251">
        <v>29</v>
      </c>
      <c r="M76" s="251">
        <v>18</v>
      </c>
      <c r="N76" s="251">
        <v>12</v>
      </c>
      <c r="O76" s="251">
        <v>21</v>
      </c>
      <c r="P76" s="251">
        <v>23</v>
      </c>
      <c r="Q76" s="251">
        <v>23</v>
      </c>
      <c r="R76" s="251">
        <v>16</v>
      </c>
      <c r="S76" s="251">
        <v>8</v>
      </c>
      <c r="T76" s="251">
        <v>4</v>
      </c>
      <c r="U76" s="251">
        <v>4</v>
      </c>
      <c r="V76" s="259">
        <v>0</v>
      </c>
      <c r="W76" s="266">
        <v>23.879549000000001</v>
      </c>
      <c r="X76" s="251">
        <v>24.87453</v>
      </c>
      <c r="Y76" s="251">
        <v>23.879549000000001</v>
      </c>
      <c r="Z76" s="251">
        <v>21.889585999999998</v>
      </c>
      <c r="AA76" s="251">
        <v>13.929737000000001</v>
      </c>
      <c r="AB76" s="251">
        <v>13.929736999999999</v>
      </c>
      <c r="AC76" s="251">
        <v>24.874531000000001</v>
      </c>
      <c r="AD76" s="251">
        <v>32.834380000000003</v>
      </c>
      <c r="AE76" s="251">
        <v>31.839396999999998</v>
      </c>
      <c r="AF76" s="251">
        <v>29.849435</v>
      </c>
      <c r="AG76" s="251">
        <v>23.879549000000001</v>
      </c>
      <c r="AH76" s="251">
        <v>34.824340999999997</v>
      </c>
      <c r="AI76" s="251">
        <v>20.894606000000003</v>
      </c>
      <c r="AJ76" s="251">
        <v>12.934754</v>
      </c>
      <c r="AK76" s="251">
        <v>18.904644000000001</v>
      </c>
      <c r="AL76" s="251">
        <v>15.919699</v>
      </c>
      <c r="AM76" s="251">
        <v>12.934756</v>
      </c>
      <c r="AN76" s="251">
        <v>6.9648680000000001</v>
      </c>
      <c r="AO76" s="251">
        <v>0.994981</v>
      </c>
      <c r="AP76" s="267">
        <v>0</v>
      </c>
      <c r="AQ76" s="266">
        <v>24.792232285300003</v>
      </c>
      <c r="AR76" s="251">
        <v>24.7467667823</v>
      </c>
      <c r="AS76" s="251">
        <v>21.752628763200001</v>
      </c>
      <c r="AT76" s="251">
        <v>22.7716766528</v>
      </c>
      <c r="AU76" s="251">
        <v>11.9097330697</v>
      </c>
      <c r="AV76" s="251">
        <v>14.960953118800001</v>
      </c>
      <c r="AW76" s="251">
        <v>18.928835023500003</v>
      </c>
      <c r="AX76" s="251">
        <v>21.832139538100002</v>
      </c>
      <c r="AY76" s="251">
        <v>28.789176729699999</v>
      </c>
      <c r="AZ76" s="251">
        <v>36.844122501299999</v>
      </c>
      <c r="BA76" s="251">
        <v>25.8855162893</v>
      </c>
      <c r="BB76" s="251">
        <v>26.0053822068</v>
      </c>
      <c r="BC76" s="251">
        <v>28.066652820199998</v>
      </c>
      <c r="BD76" s="251">
        <v>18.064119362500001</v>
      </c>
      <c r="BE76" s="251">
        <v>10.025380074100001</v>
      </c>
      <c r="BF76" s="251">
        <v>14.027532560299999</v>
      </c>
      <c r="BG76" s="251">
        <v>13.037026802700002</v>
      </c>
      <c r="BH76" s="251">
        <v>8.0100328591000007</v>
      </c>
      <c r="BI76" s="251">
        <v>3.0116467286000002</v>
      </c>
      <c r="BJ76" s="267">
        <v>1.0077229157000001</v>
      </c>
    </row>
    <row r="77" spans="1:62">
      <c r="A77" s="1383"/>
      <c r="B77" s="252" t="s">
        <v>387</v>
      </c>
      <c r="C77" s="253">
        <v>31</v>
      </c>
      <c r="D77" s="253">
        <v>22</v>
      </c>
      <c r="E77" s="253">
        <v>14</v>
      </c>
      <c r="F77" s="253">
        <v>10</v>
      </c>
      <c r="G77" s="253">
        <v>7</v>
      </c>
      <c r="H77" s="253">
        <v>24</v>
      </c>
      <c r="I77" s="253">
        <v>31</v>
      </c>
      <c r="J77" s="253">
        <v>24</v>
      </c>
      <c r="K77" s="253">
        <v>14</v>
      </c>
      <c r="L77" s="253">
        <v>20</v>
      </c>
      <c r="M77" s="253">
        <v>18</v>
      </c>
      <c r="N77" s="253">
        <v>20</v>
      </c>
      <c r="O77" s="253">
        <v>26</v>
      </c>
      <c r="P77" s="253">
        <v>20</v>
      </c>
      <c r="Q77" s="253">
        <v>25</v>
      </c>
      <c r="R77" s="253">
        <v>21</v>
      </c>
      <c r="S77" s="253">
        <v>4</v>
      </c>
      <c r="T77" s="253">
        <v>10</v>
      </c>
      <c r="U77" s="253">
        <v>3</v>
      </c>
      <c r="V77" s="260">
        <v>0</v>
      </c>
      <c r="W77" s="268">
        <v>19.899625</v>
      </c>
      <c r="X77" s="253">
        <v>18.904644000000001</v>
      </c>
      <c r="Y77" s="253">
        <v>32.834378999999998</v>
      </c>
      <c r="Z77" s="253">
        <v>17.909663000000002</v>
      </c>
      <c r="AA77" s="253">
        <v>15.919699999999999</v>
      </c>
      <c r="AB77" s="253">
        <v>20.894606</v>
      </c>
      <c r="AC77" s="253">
        <v>22.884568999999999</v>
      </c>
      <c r="AD77" s="253">
        <v>25.869509999999998</v>
      </c>
      <c r="AE77" s="253">
        <v>31.839397000000002</v>
      </c>
      <c r="AF77" s="253">
        <v>27.859473000000001</v>
      </c>
      <c r="AG77" s="253">
        <v>24.874530000000004</v>
      </c>
      <c r="AH77" s="253">
        <v>26.864491999999998</v>
      </c>
      <c r="AI77" s="253">
        <v>23.879549000000001</v>
      </c>
      <c r="AJ77" s="253">
        <v>19.899623999999999</v>
      </c>
      <c r="AK77" s="253">
        <v>23.879548</v>
      </c>
      <c r="AL77" s="253">
        <v>14.924718</v>
      </c>
      <c r="AM77" s="253">
        <v>17.909662000000001</v>
      </c>
      <c r="AN77" s="253">
        <v>12.934754</v>
      </c>
      <c r="AO77" s="253">
        <v>1.989962</v>
      </c>
      <c r="AP77" s="269">
        <v>0.994981</v>
      </c>
      <c r="AQ77" s="268">
        <v>18.820556806100001</v>
      </c>
      <c r="AR77" s="253">
        <v>28.652163065300002</v>
      </c>
      <c r="AS77" s="253">
        <v>18.746971335000001</v>
      </c>
      <c r="AT77" s="253">
        <v>27.7021728281</v>
      </c>
      <c r="AU77" s="253">
        <v>14.943867697199998</v>
      </c>
      <c r="AV77" s="253">
        <v>20.955475402100003</v>
      </c>
      <c r="AW77" s="253">
        <v>19.823039493700001</v>
      </c>
      <c r="AX77" s="253">
        <v>23.830269034800001</v>
      </c>
      <c r="AY77" s="253">
        <v>24.8381856369</v>
      </c>
      <c r="AZ77" s="253">
        <v>34.783342155400007</v>
      </c>
      <c r="BA77" s="253">
        <v>26.944432596200002</v>
      </c>
      <c r="BB77" s="253">
        <v>24.041587848800003</v>
      </c>
      <c r="BC77" s="253">
        <v>26.062630391300001</v>
      </c>
      <c r="BD77" s="253">
        <v>23.079722838899997</v>
      </c>
      <c r="BE77" s="253">
        <v>21.081560035199999</v>
      </c>
      <c r="BF77" s="253">
        <v>18.081402390100003</v>
      </c>
      <c r="BG77" s="253">
        <v>14.056271736700001</v>
      </c>
      <c r="BH77" s="253">
        <v>10.059946129</v>
      </c>
      <c r="BI77" s="253">
        <v>4.0308916627000002</v>
      </c>
      <c r="BJ77" s="269">
        <v>0.99623383219999995</v>
      </c>
    </row>
    <row r="78" spans="1:62" ht="14.4" thickBot="1">
      <c r="A78" s="1382" t="s">
        <v>313</v>
      </c>
      <c r="B78" s="250" t="s">
        <v>390</v>
      </c>
      <c r="C78" s="254">
        <v>16</v>
      </c>
      <c r="D78" s="254">
        <v>15</v>
      </c>
      <c r="E78" s="254">
        <v>24</v>
      </c>
      <c r="F78" s="254">
        <v>15</v>
      </c>
      <c r="G78" s="254">
        <v>10</v>
      </c>
      <c r="H78" s="254">
        <v>8</v>
      </c>
      <c r="I78" s="254">
        <v>11</v>
      </c>
      <c r="J78" s="254">
        <v>34</v>
      </c>
      <c r="K78" s="254">
        <v>18</v>
      </c>
      <c r="L78" s="254">
        <v>15</v>
      </c>
      <c r="M78" s="254">
        <v>12</v>
      </c>
      <c r="N78" s="254">
        <v>13</v>
      </c>
      <c r="O78" s="254">
        <v>13</v>
      </c>
      <c r="P78" s="254">
        <v>16</v>
      </c>
      <c r="Q78" s="254">
        <v>10</v>
      </c>
      <c r="R78" s="254">
        <v>11</v>
      </c>
      <c r="S78" s="254">
        <v>2</v>
      </c>
      <c r="T78" s="254">
        <v>5</v>
      </c>
      <c r="U78" s="254">
        <v>0</v>
      </c>
      <c r="V78" s="261">
        <v>0</v>
      </c>
      <c r="W78" s="270">
        <v>11.103968999999999</v>
      </c>
      <c r="X78" s="254">
        <v>13.122873999999999</v>
      </c>
      <c r="Y78" s="254">
        <v>20.189036000000002</v>
      </c>
      <c r="Z78" s="254">
        <v>19.179583999999998</v>
      </c>
      <c r="AA78" s="254">
        <v>14.132324999999998</v>
      </c>
      <c r="AB78" s="254">
        <v>11.103968999999999</v>
      </c>
      <c r="AC78" s="254">
        <v>17.160679999999999</v>
      </c>
      <c r="AD78" s="254">
        <v>17.160681</v>
      </c>
      <c r="AE78" s="254">
        <v>17.160681</v>
      </c>
      <c r="AF78" s="254">
        <v>29.274103</v>
      </c>
      <c r="AG78" s="254">
        <v>15.141776</v>
      </c>
      <c r="AH78" s="254">
        <v>17.160681</v>
      </c>
      <c r="AI78" s="254">
        <v>15.141776</v>
      </c>
      <c r="AJ78" s="254">
        <v>12.113422</v>
      </c>
      <c r="AK78" s="254">
        <v>10.094517999999999</v>
      </c>
      <c r="AL78" s="254">
        <v>13.122874000000001</v>
      </c>
      <c r="AM78" s="254">
        <v>7.0661629999999995</v>
      </c>
      <c r="AN78" s="254">
        <v>5.0472599999999996</v>
      </c>
      <c r="AO78" s="254">
        <v>2.018904</v>
      </c>
      <c r="AP78" s="271">
        <v>1.009452</v>
      </c>
      <c r="AQ78" s="281">
        <v>20.297303151299996</v>
      </c>
      <c r="AR78" s="282">
        <v>20.314780697100002</v>
      </c>
      <c r="AS78" s="282">
        <v>14.215182095199999</v>
      </c>
      <c r="AT78" s="282">
        <v>14.221305089299999</v>
      </c>
      <c r="AU78" s="282">
        <v>15.251812338000001</v>
      </c>
      <c r="AV78" s="282">
        <v>17.3598831292</v>
      </c>
      <c r="AW78" s="282">
        <v>17.382519188100002</v>
      </c>
      <c r="AX78" s="282">
        <v>15.317311740900001</v>
      </c>
      <c r="AY78" s="282">
        <v>17.340020409600001</v>
      </c>
      <c r="AZ78" s="282">
        <v>13.276159963200001</v>
      </c>
      <c r="BA78" s="282">
        <v>32.677721957499998</v>
      </c>
      <c r="BB78" s="282">
        <v>19.533488216099997</v>
      </c>
      <c r="BC78" s="282">
        <v>20.599988510799999</v>
      </c>
      <c r="BD78" s="282">
        <v>16.493557111299999</v>
      </c>
      <c r="BE78" s="282">
        <v>13.385977646299999</v>
      </c>
      <c r="BF78" s="282">
        <v>9.2671899338999992</v>
      </c>
      <c r="BG78" s="282">
        <v>9.2672265643999996</v>
      </c>
      <c r="BH78" s="282">
        <v>5.1607585343000002</v>
      </c>
      <c r="BI78" s="282">
        <v>4.1249109227999998</v>
      </c>
      <c r="BJ78" s="283">
        <v>0</v>
      </c>
    </row>
    <row r="79" spans="1:62">
      <c r="A79" s="1383"/>
      <c r="B79" s="252" t="s">
        <v>391</v>
      </c>
      <c r="C79" s="255">
        <v>6</v>
      </c>
      <c r="D79" s="255">
        <v>20</v>
      </c>
      <c r="E79" s="255">
        <v>21</v>
      </c>
      <c r="F79" s="255">
        <v>13</v>
      </c>
      <c r="G79" s="255">
        <v>8</v>
      </c>
      <c r="H79" s="255">
        <v>4</v>
      </c>
      <c r="I79" s="255">
        <v>19</v>
      </c>
      <c r="J79" s="255">
        <v>32</v>
      </c>
      <c r="K79" s="255">
        <v>21</v>
      </c>
      <c r="L79" s="255">
        <v>14</v>
      </c>
      <c r="M79" s="255">
        <v>13</v>
      </c>
      <c r="N79" s="255">
        <v>17</v>
      </c>
      <c r="O79" s="255">
        <v>8</v>
      </c>
      <c r="P79" s="255">
        <v>17</v>
      </c>
      <c r="Q79" s="255">
        <v>14</v>
      </c>
      <c r="R79" s="255">
        <v>13</v>
      </c>
      <c r="S79" s="255">
        <v>5</v>
      </c>
      <c r="T79" s="255">
        <v>3</v>
      </c>
      <c r="U79" s="255">
        <v>0</v>
      </c>
      <c r="V79" s="262">
        <v>0</v>
      </c>
      <c r="W79" s="272">
        <v>16.151228</v>
      </c>
      <c r="X79" s="255">
        <v>14.132325000000002</v>
      </c>
      <c r="Y79" s="255">
        <v>10.094517999999999</v>
      </c>
      <c r="Z79" s="255">
        <v>20.189034999999997</v>
      </c>
      <c r="AA79" s="255">
        <v>8.0756149999999991</v>
      </c>
      <c r="AB79" s="255">
        <v>16.151229999999998</v>
      </c>
      <c r="AC79" s="255">
        <v>13.122873999999999</v>
      </c>
      <c r="AD79" s="255">
        <v>11.10397</v>
      </c>
      <c r="AE79" s="255">
        <v>21.198488000000001</v>
      </c>
      <c r="AF79" s="255">
        <v>24.226843000000002</v>
      </c>
      <c r="AG79" s="255">
        <v>21.198487000000004</v>
      </c>
      <c r="AH79" s="255">
        <v>20.189036000000002</v>
      </c>
      <c r="AI79" s="255">
        <v>13.122872999999998</v>
      </c>
      <c r="AJ79" s="255">
        <v>17.160679999999999</v>
      </c>
      <c r="AK79" s="255">
        <v>10.094518000000001</v>
      </c>
      <c r="AL79" s="255">
        <v>12.113421000000001</v>
      </c>
      <c r="AM79" s="255">
        <v>11.103970999999998</v>
      </c>
      <c r="AN79" s="255">
        <v>6.056711</v>
      </c>
      <c r="AO79" s="255">
        <v>1.009452</v>
      </c>
      <c r="AP79" s="273">
        <v>0</v>
      </c>
      <c r="AQ79" s="284">
        <v>19.310150790000002</v>
      </c>
      <c r="AR79" s="285">
        <v>22.366395156300001</v>
      </c>
      <c r="AS79" s="285">
        <v>13.185639542600001</v>
      </c>
      <c r="AT79" s="285">
        <v>12.2462903444</v>
      </c>
      <c r="AU79" s="285">
        <v>13.2471458006</v>
      </c>
      <c r="AV79" s="285">
        <v>12.265478803299999</v>
      </c>
      <c r="AW79" s="285">
        <v>22.451610975800001</v>
      </c>
      <c r="AX79" s="285">
        <v>16.2561882211</v>
      </c>
      <c r="AY79" s="285">
        <v>9.1573722509</v>
      </c>
      <c r="AZ79" s="285">
        <v>21.429083503899999</v>
      </c>
      <c r="BA79" s="285">
        <v>25.620877243400002</v>
      </c>
      <c r="BB79" s="285">
        <v>23.676805401000003</v>
      </c>
      <c r="BC79" s="285">
        <v>20.5815456182</v>
      </c>
      <c r="BD79" s="285">
        <v>13.386014276799997</v>
      </c>
      <c r="BE79" s="285">
        <v>18.511070851299998</v>
      </c>
      <c r="BF79" s="285">
        <v>7.2262939163000004</v>
      </c>
      <c r="BG79" s="285">
        <v>10.315393858099998</v>
      </c>
      <c r="BH79" s="285">
        <v>5.1484754826999994</v>
      </c>
      <c r="BI79" s="285">
        <v>3.0952231523</v>
      </c>
      <c r="BJ79" s="286">
        <v>1.0358476114999999</v>
      </c>
    </row>
    <row r="80" spans="1:62" ht="14.4" thickBot="1">
      <c r="A80" s="1382" t="s">
        <v>314</v>
      </c>
      <c r="B80" s="250" t="s">
        <v>388</v>
      </c>
      <c r="C80" s="251">
        <v>27</v>
      </c>
      <c r="D80" s="251">
        <v>42</v>
      </c>
      <c r="E80" s="251">
        <v>42</v>
      </c>
      <c r="F80" s="251">
        <v>42</v>
      </c>
      <c r="G80" s="251">
        <v>29</v>
      </c>
      <c r="H80" s="251">
        <v>37</v>
      </c>
      <c r="I80" s="251">
        <v>39</v>
      </c>
      <c r="J80" s="251">
        <v>57</v>
      </c>
      <c r="K80" s="251">
        <v>55</v>
      </c>
      <c r="L80" s="251">
        <v>56</v>
      </c>
      <c r="M80" s="251">
        <v>35</v>
      </c>
      <c r="N80" s="251">
        <v>44</v>
      </c>
      <c r="O80" s="251">
        <v>36</v>
      </c>
      <c r="P80" s="251">
        <v>33</v>
      </c>
      <c r="Q80" s="251">
        <v>24</v>
      </c>
      <c r="R80" s="251">
        <v>23</v>
      </c>
      <c r="S80" s="251">
        <v>5</v>
      </c>
      <c r="T80" s="251">
        <v>6</v>
      </c>
      <c r="U80" s="251">
        <v>4</v>
      </c>
      <c r="V80" s="259">
        <v>0</v>
      </c>
      <c r="W80" s="266">
        <v>49.986520999999996</v>
      </c>
      <c r="X80" s="251">
        <v>48.922978000000001</v>
      </c>
      <c r="Y80" s="251">
        <v>47.859434999999998</v>
      </c>
      <c r="Z80" s="251">
        <v>60.621951000000003</v>
      </c>
      <c r="AA80" s="251">
        <v>41.478177000000002</v>
      </c>
      <c r="AB80" s="251">
        <v>37.224004999999998</v>
      </c>
      <c r="AC80" s="251">
        <v>47.859435000000005</v>
      </c>
      <c r="AD80" s="251">
        <v>62.749037000000001</v>
      </c>
      <c r="AE80" s="251">
        <v>68.066751999999994</v>
      </c>
      <c r="AF80" s="251">
        <v>69.130295000000004</v>
      </c>
      <c r="AG80" s="251">
        <v>58.494865000000004</v>
      </c>
      <c r="AH80" s="251">
        <v>55.30423600000001</v>
      </c>
      <c r="AI80" s="251">
        <v>37.224004999999998</v>
      </c>
      <c r="AJ80" s="251">
        <v>44.668806000000004</v>
      </c>
      <c r="AK80" s="251">
        <v>23.397946000000005</v>
      </c>
      <c r="AL80" s="251">
        <v>26.588574999999999</v>
      </c>
      <c r="AM80" s="251">
        <v>14.889602</v>
      </c>
      <c r="AN80" s="251">
        <v>4.2541719999999996</v>
      </c>
      <c r="AO80" s="251">
        <v>2.1270859999999998</v>
      </c>
      <c r="AP80" s="267">
        <v>0</v>
      </c>
      <c r="AQ80" s="266">
        <v>70.636661239999995</v>
      </c>
      <c r="AR80" s="251">
        <v>76.8342681986</v>
      </c>
      <c r="AS80" s="251">
        <v>57.401517065599997</v>
      </c>
      <c r="AT80" s="251">
        <v>43.030559958100007</v>
      </c>
      <c r="AU80" s="251">
        <v>30.699316920200005</v>
      </c>
      <c r="AV80" s="251">
        <v>35.806008968</v>
      </c>
      <c r="AW80" s="251">
        <v>67.541709399599995</v>
      </c>
      <c r="AX80" s="251">
        <v>59.407477873099992</v>
      </c>
      <c r="AY80" s="251">
        <v>69.603307822000005</v>
      </c>
      <c r="AZ80" s="251">
        <v>70.635965483000007</v>
      </c>
      <c r="BA80" s="251">
        <v>69.539966086999996</v>
      </c>
      <c r="BB80" s="251">
        <v>58.273746941500001</v>
      </c>
      <c r="BC80" s="251">
        <v>50.071823960200007</v>
      </c>
      <c r="BD80" s="251">
        <v>32.702659876699997</v>
      </c>
      <c r="BE80" s="251">
        <v>39.8477108712</v>
      </c>
      <c r="BF80" s="251">
        <v>21.459351353199999</v>
      </c>
      <c r="BG80" s="251">
        <v>20.426718487199999</v>
      </c>
      <c r="BH80" s="251">
        <v>8.1723025088999997</v>
      </c>
      <c r="BI80" s="251">
        <v>2.0437474106</v>
      </c>
      <c r="BJ80" s="267">
        <v>0</v>
      </c>
    </row>
    <row r="81" spans="1:62">
      <c r="A81" s="1383"/>
      <c r="B81" s="252" t="s">
        <v>389</v>
      </c>
      <c r="C81" s="253">
        <v>27</v>
      </c>
      <c r="D81" s="253">
        <v>38</v>
      </c>
      <c r="E81" s="253">
        <v>43</v>
      </c>
      <c r="F81" s="253">
        <v>45</v>
      </c>
      <c r="G81" s="253">
        <v>30</v>
      </c>
      <c r="H81" s="253">
        <v>30</v>
      </c>
      <c r="I81" s="253">
        <v>45</v>
      </c>
      <c r="J81" s="253">
        <v>44</v>
      </c>
      <c r="K81" s="253">
        <v>64</v>
      </c>
      <c r="L81" s="253">
        <v>43</v>
      </c>
      <c r="M81" s="253">
        <v>33</v>
      </c>
      <c r="N81" s="253">
        <v>46</v>
      </c>
      <c r="O81" s="253">
        <v>41</v>
      </c>
      <c r="P81" s="253">
        <v>31</v>
      </c>
      <c r="Q81" s="253">
        <v>33</v>
      </c>
      <c r="R81" s="253">
        <v>23</v>
      </c>
      <c r="S81" s="253">
        <v>10</v>
      </c>
      <c r="T81" s="253">
        <v>15</v>
      </c>
      <c r="U81" s="253">
        <v>5</v>
      </c>
      <c r="V81" s="260">
        <v>1</v>
      </c>
      <c r="W81" s="268">
        <v>71.257380999999995</v>
      </c>
      <c r="X81" s="253">
        <v>62.749036999999994</v>
      </c>
      <c r="Y81" s="253">
        <v>49.98652100000001</v>
      </c>
      <c r="Z81" s="253">
        <v>45.732348999999992</v>
      </c>
      <c r="AA81" s="253">
        <v>36.160462000000003</v>
      </c>
      <c r="AB81" s="253">
        <v>41.478177000000002</v>
      </c>
      <c r="AC81" s="253">
        <v>54.240693</v>
      </c>
      <c r="AD81" s="253">
        <v>63.812580000000004</v>
      </c>
      <c r="AE81" s="253">
        <v>64.876123000000007</v>
      </c>
      <c r="AF81" s="253">
        <v>65.939666000000003</v>
      </c>
      <c r="AG81" s="253">
        <v>59.558408</v>
      </c>
      <c r="AH81" s="253">
        <v>54.240692999999993</v>
      </c>
      <c r="AI81" s="253">
        <v>40.414633999999992</v>
      </c>
      <c r="AJ81" s="253">
        <v>42.541719999999998</v>
      </c>
      <c r="AK81" s="253">
        <v>35.096919</v>
      </c>
      <c r="AL81" s="253">
        <v>25.525031999999999</v>
      </c>
      <c r="AM81" s="253">
        <v>28.715660999999997</v>
      </c>
      <c r="AN81" s="253">
        <v>11.698973000000001</v>
      </c>
      <c r="AO81" s="253">
        <v>2.1270859999999998</v>
      </c>
      <c r="AP81" s="269">
        <v>0</v>
      </c>
      <c r="AQ81" s="268">
        <v>52.239505564300003</v>
      </c>
      <c r="AR81" s="253">
        <v>88.137222855000005</v>
      </c>
      <c r="AS81" s="253">
        <v>68.659614508000004</v>
      </c>
      <c r="AT81" s="253">
        <v>49.176639079000005</v>
      </c>
      <c r="AU81" s="253">
        <v>25.580547920200001</v>
      </c>
      <c r="AV81" s="253">
        <v>38.855146595600004</v>
      </c>
      <c r="AW81" s="253">
        <v>63.494938966999996</v>
      </c>
      <c r="AX81" s="253">
        <v>70.666942840000004</v>
      </c>
      <c r="AY81" s="253">
        <v>66.557888917599996</v>
      </c>
      <c r="AZ81" s="253">
        <v>69.610042542999992</v>
      </c>
      <c r="BA81" s="253">
        <v>67.485424069999993</v>
      </c>
      <c r="BB81" s="253">
        <v>49.056681371700002</v>
      </c>
      <c r="BC81" s="253">
        <v>52.110191792800002</v>
      </c>
      <c r="BD81" s="253">
        <v>35.7655956304</v>
      </c>
      <c r="BE81" s="253">
        <v>35.753481385399994</v>
      </c>
      <c r="BF81" s="253">
        <v>31.661954978299995</v>
      </c>
      <c r="BG81" s="253">
        <v>22.465089859799999</v>
      </c>
      <c r="BH81" s="253">
        <v>18.378943035699997</v>
      </c>
      <c r="BI81" s="253">
        <v>9.188798405</v>
      </c>
      <c r="BJ81" s="269">
        <v>1.0205292530000001</v>
      </c>
    </row>
    <row r="82" spans="1:62" ht="14.4" thickBot="1">
      <c r="A82" s="1382" t="s">
        <v>24</v>
      </c>
      <c r="B82" s="250" t="s">
        <v>133</v>
      </c>
      <c r="C82" s="254">
        <v>133</v>
      </c>
      <c r="D82" s="254">
        <v>148</v>
      </c>
      <c r="E82" s="254">
        <v>159</v>
      </c>
      <c r="F82" s="254">
        <v>132</v>
      </c>
      <c r="G82" s="254">
        <v>111</v>
      </c>
      <c r="H82" s="254">
        <v>117</v>
      </c>
      <c r="I82" s="254">
        <v>136</v>
      </c>
      <c r="J82" s="254">
        <v>179</v>
      </c>
      <c r="K82" s="254">
        <v>185</v>
      </c>
      <c r="L82" s="254">
        <v>194</v>
      </c>
      <c r="M82" s="254">
        <v>207</v>
      </c>
      <c r="N82" s="254">
        <v>121</v>
      </c>
      <c r="O82" s="254">
        <v>108</v>
      </c>
      <c r="P82" s="254">
        <v>82</v>
      </c>
      <c r="Q82" s="254">
        <v>64</v>
      </c>
      <c r="R82" s="254">
        <v>59</v>
      </c>
      <c r="S82" s="254">
        <v>19</v>
      </c>
      <c r="T82" s="254">
        <v>13</v>
      </c>
      <c r="U82" s="254">
        <v>3</v>
      </c>
      <c r="V82" s="261">
        <v>0</v>
      </c>
      <c r="W82" s="270">
        <v>129</v>
      </c>
      <c r="X82" s="254">
        <v>144</v>
      </c>
      <c r="Y82" s="254">
        <v>155</v>
      </c>
      <c r="Z82" s="254">
        <v>150</v>
      </c>
      <c r="AA82" s="254">
        <v>99</v>
      </c>
      <c r="AB82" s="254">
        <v>72</v>
      </c>
      <c r="AC82" s="254">
        <v>113</v>
      </c>
      <c r="AD82" s="254">
        <v>178</v>
      </c>
      <c r="AE82" s="254">
        <v>154</v>
      </c>
      <c r="AF82" s="254">
        <v>188</v>
      </c>
      <c r="AG82" s="254">
        <v>172</v>
      </c>
      <c r="AH82" s="254">
        <v>189</v>
      </c>
      <c r="AI82" s="254">
        <v>187</v>
      </c>
      <c r="AJ82" s="254">
        <v>92</v>
      </c>
      <c r="AK82" s="254">
        <v>103</v>
      </c>
      <c r="AL82" s="254">
        <v>59</v>
      </c>
      <c r="AM82" s="254">
        <v>28</v>
      </c>
      <c r="AN82" s="254">
        <v>21</v>
      </c>
      <c r="AO82" s="254">
        <v>6</v>
      </c>
      <c r="AP82" s="271">
        <v>1</v>
      </c>
      <c r="AQ82" s="281">
        <v>178</v>
      </c>
      <c r="AR82" s="282">
        <v>215</v>
      </c>
      <c r="AS82" s="282">
        <v>188</v>
      </c>
      <c r="AT82" s="282">
        <v>149</v>
      </c>
      <c r="AU82" s="282">
        <v>97</v>
      </c>
      <c r="AV82" s="282">
        <v>127</v>
      </c>
      <c r="AW82" s="282">
        <v>159</v>
      </c>
      <c r="AX82" s="282">
        <v>196</v>
      </c>
      <c r="AY82" s="282">
        <v>266</v>
      </c>
      <c r="AZ82" s="282">
        <v>183</v>
      </c>
      <c r="BA82" s="282">
        <v>193</v>
      </c>
      <c r="BB82" s="282">
        <v>185</v>
      </c>
      <c r="BC82" s="282">
        <v>191</v>
      </c>
      <c r="BD82" s="282">
        <v>186</v>
      </c>
      <c r="BE82" s="282">
        <v>88</v>
      </c>
      <c r="BF82" s="282">
        <v>98</v>
      </c>
      <c r="BG82" s="282">
        <v>47</v>
      </c>
      <c r="BH82" s="282">
        <v>17</v>
      </c>
      <c r="BI82" s="282">
        <v>6</v>
      </c>
      <c r="BJ82" s="283">
        <v>1</v>
      </c>
    </row>
    <row r="83" spans="1:62">
      <c r="A83" s="1383"/>
      <c r="B83" s="252" t="s">
        <v>134</v>
      </c>
      <c r="C83" s="255">
        <v>105</v>
      </c>
      <c r="D83" s="255">
        <v>142</v>
      </c>
      <c r="E83" s="255">
        <v>148</v>
      </c>
      <c r="F83" s="255">
        <v>134</v>
      </c>
      <c r="G83" s="255">
        <v>81</v>
      </c>
      <c r="H83" s="255">
        <v>113</v>
      </c>
      <c r="I83" s="255">
        <v>132</v>
      </c>
      <c r="J83" s="255">
        <v>190</v>
      </c>
      <c r="K83" s="255">
        <v>178</v>
      </c>
      <c r="L83" s="255">
        <v>191</v>
      </c>
      <c r="M83" s="255">
        <v>192</v>
      </c>
      <c r="N83" s="255">
        <v>113</v>
      </c>
      <c r="O83" s="255">
        <v>101</v>
      </c>
      <c r="P83" s="255">
        <v>81</v>
      </c>
      <c r="Q83" s="255">
        <v>81</v>
      </c>
      <c r="R83" s="255">
        <v>60</v>
      </c>
      <c r="S83" s="255">
        <v>30</v>
      </c>
      <c r="T83" s="255">
        <v>29</v>
      </c>
      <c r="U83" s="255">
        <v>5</v>
      </c>
      <c r="V83" s="262">
        <v>2</v>
      </c>
      <c r="W83" s="272">
        <v>122</v>
      </c>
      <c r="X83" s="255">
        <v>135</v>
      </c>
      <c r="Y83" s="255">
        <v>154</v>
      </c>
      <c r="Z83" s="255">
        <v>144</v>
      </c>
      <c r="AA83" s="255">
        <v>82</v>
      </c>
      <c r="AB83" s="255">
        <v>86</v>
      </c>
      <c r="AC83" s="255">
        <v>112</v>
      </c>
      <c r="AD83" s="255">
        <v>179</v>
      </c>
      <c r="AE83" s="255">
        <v>157</v>
      </c>
      <c r="AF83" s="255">
        <v>182</v>
      </c>
      <c r="AG83" s="255">
        <v>190</v>
      </c>
      <c r="AH83" s="255">
        <v>186</v>
      </c>
      <c r="AI83" s="255">
        <v>179</v>
      </c>
      <c r="AJ83" s="255">
        <v>105</v>
      </c>
      <c r="AK83" s="255">
        <v>86</v>
      </c>
      <c r="AL83" s="255">
        <v>73</v>
      </c>
      <c r="AM83" s="255">
        <v>56</v>
      </c>
      <c r="AN83" s="255">
        <v>46</v>
      </c>
      <c r="AO83" s="255">
        <v>4</v>
      </c>
      <c r="AP83" s="273">
        <v>5</v>
      </c>
      <c r="AQ83" s="284">
        <v>197</v>
      </c>
      <c r="AR83" s="285">
        <v>204</v>
      </c>
      <c r="AS83" s="285">
        <v>202</v>
      </c>
      <c r="AT83" s="285">
        <v>161</v>
      </c>
      <c r="AU83" s="285">
        <v>106</v>
      </c>
      <c r="AV83" s="285">
        <v>131</v>
      </c>
      <c r="AW83" s="285">
        <v>206</v>
      </c>
      <c r="AX83" s="285">
        <v>189</v>
      </c>
      <c r="AY83" s="285">
        <v>238</v>
      </c>
      <c r="AZ83" s="285">
        <v>202</v>
      </c>
      <c r="BA83" s="285">
        <v>203</v>
      </c>
      <c r="BB83" s="285">
        <v>207</v>
      </c>
      <c r="BC83" s="285">
        <v>186</v>
      </c>
      <c r="BD83" s="285">
        <v>185</v>
      </c>
      <c r="BE83" s="285">
        <v>109</v>
      </c>
      <c r="BF83" s="285">
        <v>78</v>
      </c>
      <c r="BG83" s="285">
        <v>65</v>
      </c>
      <c r="BH83" s="285">
        <v>43</v>
      </c>
      <c r="BI83" s="285">
        <v>18</v>
      </c>
      <c r="BJ83" s="286">
        <v>2</v>
      </c>
    </row>
    <row r="84" spans="1:62" ht="14.4" thickBot="1">
      <c r="A84" s="1382" t="s">
        <v>315</v>
      </c>
      <c r="B84" s="250" t="s">
        <v>392</v>
      </c>
      <c r="C84" s="251">
        <v>24</v>
      </c>
      <c r="D84" s="251">
        <v>23</v>
      </c>
      <c r="E84" s="251">
        <v>26</v>
      </c>
      <c r="F84" s="251">
        <v>24</v>
      </c>
      <c r="G84" s="251">
        <v>19</v>
      </c>
      <c r="H84" s="251">
        <v>42</v>
      </c>
      <c r="I84" s="251">
        <v>35</v>
      </c>
      <c r="J84" s="251">
        <v>35</v>
      </c>
      <c r="K84" s="251">
        <v>29</v>
      </c>
      <c r="L84" s="251">
        <v>32</v>
      </c>
      <c r="M84" s="251">
        <v>33</v>
      </c>
      <c r="N84" s="251">
        <v>29</v>
      </c>
      <c r="O84" s="251">
        <v>32</v>
      </c>
      <c r="P84" s="251">
        <v>35</v>
      </c>
      <c r="Q84" s="251">
        <v>25</v>
      </c>
      <c r="R84" s="251">
        <v>14</v>
      </c>
      <c r="S84" s="251">
        <v>10</v>
      </c>
      <c r="T84" s="251">
        <v>5</v>
      </c>
      <c r="U84" s="251">
        <v>2</v>
      </c>
      <c r="V84" s="259">
        <v>0</v>
      </c>
      <c r="W84" s="266">
        <v>31</v>
      </c>
      <c r="X84" s="251">
        <v>38</v>
      </c>
      <c r="Y84" s="251">
        <v>29</v>
      </c>
      <c r="Z84" s="251">
        <v>36</v>
      </c>
      <c r="AA84" s="251">
        <v>28</v>
      </c>
      <c r="AB84" s="251">
        <v>20</v>
      </c>
      <c r="AC84" s="251">
        <v>29</v>
      </c>
      <c r="AD84" s="251">
        <v>50</v>
      </c>
      <c r="AE84" s="251">
        <v>45</v>
      </c>
      <c r="AF84" s="251">
        <v>47</v>
      </c>
      <c r="AG84" s="251">
        <v>37</v>
      </c>
      <c r="AH84" s="251">
        <v>30</v>
      </c>
      <c r="AI84" s="251">
        <v>38</v>
      </c>
      <c r="AJ84" s="251">
        <v>29</v>
      </c>
      <c r="AK84" s="251">
        <v>22</v>
      </c>
      <c r="AL84" s="251">
        <v>28</v>
      </c>
      <c r="AM84" s="251">
        <v>14</v>
      </c>
      <c r="AN84" s="251">
        <v>8</v>
      </c>
      <c r="AO84" s="251">
        <v>1</v>
      </c>
      <c r="AP84" s="267">
        <v>0</v>
      </c>
      <c r="AQ84" s="266">
        <v>52</v>
      </c>
      <c r="AR84" s="251">
        <v>44</v>
      </c>
      <c r="AS84" s="251">
        <v>36</v>
      </c>
      <c r="AT84" s="251">
        <v>27</v>
      </c>
      <c r="AU84" s="251">
        <v>31</v>
      </c>
      <c r="AV84" s="251">
        <v>38</v>
      </c>
      <c r="AW84" s="251">
        <v>46</v>
      </c>
      <c r="AX84" s="251">
        <v>46</v>
      </c>
      <c r="AY84" s="251">
        <v>51</v>
      </c>
      <c r="AZ84" s="251">
        <v>47</v>
      </c>
      <c r="BA84" s="251">
        <v>47</v>
      </c>
      <c r="BB84" s="251">
        <v>37</v>
      </c>
      <c r="BC84" s="251">
        <v>33</v>
      </c>
      <c r="BD84" s="251">
        <v>33</v>
      </c>
      <c r="BE84" s="251">
        <v>25</v>
      </c>
      <c r="BF84" s="251">
        <v>17</v>
      </c>
      <c r="BG84" s="251">
        <v>24</v>
      </c>
      <c r="BH84" s="251">
        <v>8</v>
      </c>
      <c r="BI84" s="251">
        <v>3</v>
      </c>
      <c r="BJ84" s="267">
        <v>0</v>
      </c>
    </row>
    <row r="85" spans="1:62">
      <c r="A85" s="1383"/>
      <c r="B85" s="252" t="s">
        <v>393</v>
      </c>
      <c r="C85" s="253">
        <v>14</v>
      </c>
      <c r="D85" s="253">
        <v>31</v>
      </c>
      <c r="E85" s="253">
        <v>22</v>
      </c>
      <c r="F85" s="253">
        <v>27</v>
      </c>
      <c r="G85" s="253">
        <v>17</v>
      </c>
      <c r="H85" s="253">
        <v>37</v>
      </c>
      <c r="I85" s="253">
        <v>36</v>
      </c>
      <c r="J85" s="253">
        <v>32</v>
      </c>
      <c r="K85" s="253">
        <v>24</v>
      </c>
      <c r="L85" s="253">
        <v>34</v>
      </c>
      <c r="M85" s="253">
        <v>33</v>
      </c>
      <c r="N85" s="253">
        <v>28</v>
      </c>
      <c r="O85" s="253">
        <v>30</v>
      </c>
      <c r="P85" s="253">
        <v>27</v>
      </c>
      <c r="Q85" s="253">
        <v>17</v>
      </c>
      <c r="R85" s="253">
        <v>21</v>
      </c>
      <c r="S85" s="253">
        <v>8</v>
      </c>
      <c r="T85" s="253">
        <v>11</v>
      </c>
      <c r="U85" s="253">
        <v>4</v>
      </c>
      <c r="V85" s="260">
        <v>1</v>
      </c>
      <c r="W85" s="268">
        <v>36</v>
      </c>
      <c r="X85" s="253">
        <v>38</v>
      </c>
      <c r="Y85" s="253">
        <v>36</v>
      </c>
      <c r="Z85" s="253">
        <v>29</v>
      </c>
      <c r="AA85" s="253">
        <v>19</v>
      </c>
      <c r="AB85" s="253">
        <v>41</v>
      </c>
      <c r="AC85" s="253">
        <v>27</v>
      </c>
      <c r="AD85" s="253">
        <v>41</v>
      </c>
      <c r="AE85" s="253">
        <v>45</v>
      </c>
      <c r="AF85" s="253">
        <v>43</v>
      </c>
      <c r="AG85" s="253">
        <v>30</v>
      </c>
      <c r="AH85" s="253">
        <v>38</v>
      </c>
      <c r="AI85" s="253">
        <v>30</v>
      </c>
      <c r="AJ85" s="253">
        <v>31</v>
      </c>
      <c r="AK85" s="253">
        <v>30</v>
      </c>
      <c r="AL85" s="253">
        <v>29</v>
      </c>
      <c r="AM85" s="253">
        <v>13</v>
      </c>
      <c r="AN85" s="253">
        <v>11</v>
      </c>
      <c r="AO85" s="253">
        <v>2</v>
      </c>
      <c r="AP85" s="269">
        <v>1</v>
      </c>
      <c r="AQ85" s="268">
        <v>46</v>
      </c>
      <c r="AR85" s="253">
        <v>42</v>
      </c>
      <c r="AS85" s="253">
        <v>44</v>
      </c>
      <c r="AT85" s="253">
        <v>30</v>
      </c>
      <c r="AU85" s="253">
        <v>26</v>
      </c>
      <c r="AV85" s="253">
        <v>24</v>
      </c>
      <c r="AW85" s="253">
        <v>61</v>
      </c>
      <c r="AX85" s="253">
        <v>37</v>
      </c>
      <c r="AY85" s="253">
        <v>47</v>
      </c>
      <c r="AZ85" s="253">
        <v>43</v>
      </c>
      <c r="BA85" s="253">
        <v>46</v>
      </c>
      <c r="BB85" s="253">
        <v>34</v>
      </c>
      <c r="BC85" s="253">
        <v>40</v>
      </c>
      <c r="BD85" s="253">
        <v>30</v>
      </c>
      <c r="BE85" s="253">
        <v>28</v>
      </c>
      <c r="BF85" s="253">
        <v>26</v>
      </c>
      <c r="BG85" s="253">
        <v>25</v>
      </c>
      <c r="BH85" s="253">
        <v>12</v>
      </c>
      <c r="BI85" s="253">
        <v>6</v>
      </c>
      <c r="BJ85" s="269">
        <v>1</v>
      </c>
    </row>
    <row r="86" spans="1:62" ht="14.4" thickBot="1">
      <c r="A86" s="1382" t="s">
        <v>25</v>
      </c>
      <c r="B86" s="250" t="s">
        <v>135</v>
      </c>
      <c r="C86" s="254">
        <v>110</v>
      </c>
      <c r="D86" s="254">
        <v>124</v>
      </c>
      <c r="E86" s="254">
        <v>114</v>
      </c>
      <c r="F86" s="254">
        <v>114</v>
      </c>
      <c r="G86" s="254">
        <v>105</v>
      </c>
      <c r="H86" s="254">
        <v>108</v>
      </c>
      <c r="I86" s="254">
        <v>101</v>
      </c>
      <c r="J86" s="254">
        <v>110</v>
      </c>
      <c r="K86" s="254">
        <v>124</v>
      </c>
      <c r="L86" s="254">
        <v>134</v>
      </c>
      <c r="M86" s="254">
        <v>126</v>
      </c>
      <c r="N86" s="254">
        <v>95</v>
      </c>
      <c r="O86" s="254">
        <v>101</v>
      </c>
      <c r="P86" s="254">
        <v>75</v>
      </c>
      <c r="Q86" s="254">
        <v>63</v>
      </c>
      <c r="R86" s="254">
        <v>45</v>
      </c>
      <c r="S86" s="254">
        <v>13</v>
      </c>
      <c r="T86" s="254">
        <v>13</v>
      </c>
      <c r="U86" s="254">
        <v>4</v>
      </c>
      <c r="V86" s="261">
        <v>4</v>
      </c>
      <c r="W86" s="270">
        <v>158.42447200000001</v>
      </c>
      <c r="X86" s="254">
        <v>164.475753</v>
      </c>
      <c r="Y86" s="254">
        <v>138.26568899999998</v>
      </c>
      <c r="Z86" s="254">
        <v>148.282948</v>
      </c>
      <c r="AA86" s="254">
        <v>87.637223000000006</v>
      </c>
      <c r="AB86" s="254">
        <v>73.481470999999999</v>
      </c>
      <c r="AC86" s="254">
        <v>119.86801200000001</v>
      </c>
      <c r="AD86" s="254">
        <v>164.34988700000002</v>
      </c>
      <c r="AE86" s="254">
        <v>172.41892199999998</v>
      </c>
      <c r="AF86" s="254">
        <v>115.87951600000001</v>
      </c>
      <c r="AG86" s="254">
        <v>110.754769</v>
      </c>
      <c r="AH86" s="254">
        <v>119.72290800000002</v>
      </c>
      <c r="AI86" s="254">
        <v>115.674751</v>
      </c>
      <c r="AJ86" s="254">
        <v>99.568994000000004</v>
      </c>
      <c r="AK86" s="254">
        <v>70.393680000000003</v>
      </c>
      <c r="AL86" s="254">
        <v>56.313658000000004</v>
      </c>
      <c r="AM86" s="254">
        <v>50.262343999999999</v>
      </c>
      <c r="AN86" s="254">
        <v>15.077584999999999</v>
      </c>
      <c r="AO86" s="254">
        <v>5.0296190000000003</v>
      </c>
      <c r="AP86" s="271">
        <v>0</v>
      </c>
      <c r="AQ86" s="281">
        <v>123.46512532599999</v>
      </c>
      <c r="AR86" s="282">
        <v>175.98798559700001</v>
      </c>
      <c r="AS86" s="282">
        <v>171.00879804900001</v>
      </c>
      <c r="AT86" s="282">
        <v>127.486719764</v>
      </c>
      <c r="AU86" s="282">
        <v>105.43641148400002</v>
      </c>
      <c r="AV86" s="282">
        <v>106.84237480500001</v>
      </c>
      <c r="AW86" s="282">
        <v>92.281376639199991</v>
      </c>
      <c r="AX86" s="282">
        <v>140.05207431000002</v>
      </c>
      <c r="AY86" s="282">
        <v>156.795194189</v>
      </c>
      <c r="AZ86" s="282">
        <v>175.29214908500001</v>
      </c>
      <c r="BA86" s="282">
        <v>121.520721849</v>
      </c>
      <c r="BB86" s="282">
        <v>104.859391714</v>
      </c>
      <c r="BC86" s="282">
        <v>119.33879191600001</v>
      </c>
      <c r="BD86" s="282">
        <v>115.34814523599999</v>
      </c>
      <c r="BE86" s="282">
        <v>91.055926077999999</v>
      </c>
      <c r="BF86" s="282">
        <v>64.813605147299995</v>
      </c>
      <c r="BG86" s="282">
        <v>49.587766297400002</v>
      </c>
      <c r="BH86" s="282">
        <v>29.375466744099995</v>
      </c>
      <c r="BI86" s="282">
        <v>4.0717559935000001</v>
      </c>
      <c r="BJ86" s="283">
        <v>0</v>
      </c>
    </row>
    <row r="87" spans="1:62">
      <c r="A87" s="1383"/>
      <c r="B87" s="252" t="s">
        <v>136</v>
      </c>
      <c r="C87" s="255">
        <v>94</v>
      </c>
      <c r="D87" s="255">
        <v>95</v>
      </c>
      <c r="E87" s="255">
        <v>112</v>
      </c>
      <c r="F87" s="255">
        <v>120</v>
      </c>
      <c r="G87" s="255">
        <v>87</v>
      </c>
      <c r="H87" s="255">
        <v>100</v>
      </c>
      <c r="I87" s="255">
        <v>106</v>
      </c>
      <c r="J87" s="255">
        <v>136</v>
      </c>
      <c r="K87" s="255">
        <v>149</v>
      </c>
      <c r="L87" s="255">
        <v>133</v>
      </c>
      <c r="M87" s="255">
        <v>130</v>
      </c>
      <c r="N87" s="255">
        <v>96</v>
      </c>
      <c r="O87" s="255">
        <v>97</v>
      </c>
      <c r="P87" s="255">
        <v>65</v>
      </c>
      <c r="Q87" s="255">
        <v>80</v>
      </c>
      <c r="R87" s="255">
        <v>71</v>
      </c>
      <c r="S87" s="255">
        <v>28</v>
      </c>
      <c r="T87" s="255">
        <v>32</v>
      </c>
      <c r="U87" s="255">
        <v>12</v>
      </c>
      <c r="V87" s="262">
        <v>7</v>
      </c>
      <c r="W87" s="272">
        <v>130.15627899999998</v>
      </c>
      <c r="X87" s="255">
        <v>140.25255900000002</v>
      </c>
      <c r="Y87" s="255">
        <v>116.0521</v>
      </c>
      <c r="Z87" s="255">
        <v>91.801583000000008</v>
      </c>
      <c r="AA87" s="255">
        <v>71.528282999999988</v>
      </c>
      <c r="AB87" s="255">
        <v>82.554377000000002</v>
      </c>
      <c r="AC87" s="255">
        <v>132.03842700000001</v>
      </c>
      <c r="AD87" s="255">
        <v>172.44948699999998</v>
      </c>
      <c r="AE87" s="255">
        <v>150.24731300000002</v>
      </c>
      <c r="AF87" s="255">
        <v>138.01557099999999</v>
      </c>
      <c r="AG87" s="255">
        <v>142.92586900000001</v>
      </c>
      <c r="AH87" s="255">
        <v>128.74756600000001</v>
      </c>
      <c r="AI87" s="255">
        <v>107.57999700000002</v>
      </c>
      <c r="AJ87" s="255">
        <v>86.48169200000001</v>
      </c>
      <c r="AK87" s="255">
        <v>96.507120999999984</v>
      </c>
      <c r="AL87" s="255">
        <v>55.283931000000003</v>
      </c>
      <c r="AM87" s="255">
        <v>58.291073000000004</v>
      </c>
      <c r="AN87" s="255">
        <v>33.143008999999999</v>
      </c>
      <c r="AO87" s="255">
        <v>6.0336150000000002</v>
      </c>
      <c r="AP87" s="273">
        <v>7.0279489999999996</v>
      </c>
      <c r="AQ87" s="284">
        <v>116.579613342</v>
      </c>
      <c r="AR87" s="285">
        <v>133.26473163</v>
      </c>
      <c r="AS87" s="285">
        <v>131.29012663399999</v>
      </c>
      <c r="AT87" s="285">
        <v>109.810733118</v>
      </c>
      <c r="AU87" s="285">
        <v>93.537076591999991</v>
      </c>
      <c r="AV87" s="285">
        <v>109.74812688699998</v>
      </c>
      <c r="AW87" s="285">
        <v>116.00213733400001</v>
      </c>
      <c r="AX87" s="285">
        <v>138.79903806199999</v>
      </c>
      <c r="AY87" s="285">
        <v>177.76410516799999</v>
      </c>
      <c r="AZ87" s="285">
        <v>157.30083413</v>
      </c>
      <c r="BA87" s="285">
        <v>129.79860083400001</v>
      </c>
      <c r="BB87" s="285">
        <v>139.46182115900001</v>
      </c>
      <c r="BC87" s="285">
        <v>130.55869902000001</v>
      </c>
      <c r="BD87" s="285">
        <v>116.555289174</v>
      </c>
      <c r="BE87" s="285">
        <v>83.011079432000002</v>
      </c>
      <c r="BF87" s="285">
        <v>89.260336628000005</v>
      </c>
      <c r="BG87" s="285">
        <v>41.635929021700001</v>
      </c>
      <c r="BH87" s="285">
        <v>44.707815676300001</v>
      </c>
      <c r="BI87" s="285">
        <v>16.254761506099999</v>
      </c>
      <c r="BJ87" s="286">
        <v>4.0393644286999999</v>
      </c>
    </row>
    <row r="88" spans="1:62">
      <c r="A88" s="1377" t="s">
        <v>26</v>
      </c>
      <c r="B88" s="250" t="s">
        <v>137</v>
      </c>
      <c r="C88" s="251">
        <v>207</v>
      </c>
      <c r="D88" s="251">
        <v>255</v>
      </c>
      <c r="E88" s="251">
        <v>281</v>
      </c>
      <c r="F88" s="251">
        <v>241</v>
      </c>
      <c r="G88" s="251">
        <v>139</v>
      </c>
      <c r="H88" s="251">
        <v>146</v>
      </c>
      <c r="I88" s="251">
        <v>206</v>
      </c>
      <c r="J88" s="251">
        <v>289</v>
      </c>
      <c r="K88" s="251">
        <v>291</v>
      </c>
      <c r="L88" s="251">
        <v>260</v>
      </c>
      <c r="M88" s="251">
        <v>225</v>
      </c>
      <c r="N88" s="251">
        <v>193</v>
      </c>
      <c r="O88" s="251">
        <v>170</v>
      </c>
      <c r="P88" s="251">
        <v>129</v>
      </c>
      <c r="Q88" s="251">
        <v>87</v>
      </c>
      <c r="R88" s="251">
        <v>55</v>
      </c>
      <c r="S88" s="251">
        <v>30</v>
      </c>
      <c r="T88" s="251">
        <v>15</v>
      </c>
      <c r="U88" s="251">
        <v>10</v>
      </c>
      <c r="V88" s="259">
        <v>2</v>
      </c>
      <c r="W88" s="266">
        <v>196.659581</v>
      </c>
      <c r="X88" s="251">
        <v>241.39605799999998</v>
      </c>
      <c r="Y88" s="251">
        <v>239.04199799999998</v>
      </c>
      <c r="Z88" s="251">
        <v>228.589809</v>
      </c>
      <c r="AA88" s="251">
        <v>155.97575800000001</v>
      </c>
      <c r="AB88" s="251">
        <v>117.70173799999999</v>
      </c>
      <c r="AC88" s="251">
        <v>157.44615400000001</v>
      </c>
      <c r="AD88" s="251">
        <v>258.41668100000004</v>
      </c>
      <c r="AE88" s="251">
        <v>265.19870200000003</v>
      </c>
      <c r="AF88" s="251">
        <v>291.79008399999998</v>
      </c>
      <c r="AG88" s="251">
        <v>267.33179799999999</v>
      </c>
      <c r="AH88" s="251">
        <v>250.04102499999999</v>
      </c>
      <c r="AI88" s="251">
        <v>219.257586</v>
      </c>
      <c r="AJ88" s="251">
        <v>154.537239</v>
      </c>
      <c r="AK88" s="251">
        <v>154.47172499999999</v>
      </c>
      <c r="AL88" s="251">
        <v>94.738497999999993</v>
      </c>
      <c r="AM88" s="251">
        <v>46.497476000000006</v>
      </c>
      <c r="AN88" s="251">
        <v>24.602826</v>
      </c>
      <c r="AO88" s="251">
        <v>10.255621</v>
      </c>
      <c r="AP88" s="267">
        <v>3.0304289999999998</v>
      </c>
      <c r="AQ88" s="266">
        <v>255.62324857499999</v>
      </c>
      <c r="AR88" s="251">
        <v>265.75326126900001</v>
      </c>
      <c r="AS88" s="251">
        <v>280.74796556399997</v>
      </c>
      <c r="AT88" s="251">
        <v>251.338347876</v>
      </c>
      <c r="AU88" s="251">
        <v>153.703210361</v>
      </c>
      <c r="AV88" s="251">
        <v>164.771320804</v>
      </c>
      <c r="AW88" s="251">
        <v>213.95250974500001</v>
      </c>
      <c r="AX88" s="251">
        <v>227.29809856300002</v>
      </c>
      <c r="AY88" s="251">
        <v>284.81958869499999</v>
      </c>
      <c r="AZ88" s="251">
        <v>286.56385081399998</v>
      </c>
      <c r="BA88" s="251">
        <v>296.236338096</v>
      </c>
      <c r="BB88" s="251">
        <v>269.88376287599999</v>
      </c>
      <c r="BC88" s="251">
        <v>229.238044258</v>
      </c>
      <c r="BD88" s="251">
        <v>201.140515687</v>
      </c>
      <c r="BE88" s="251">
        <v>139.433167642</v>
      </c>
      <c r="BF88" s="251">
        <v>125.286351176</v>
      </c>
      <c r="BG88" s="251">
        <v>72.776274743399995</v>
      </c>
      <c r="BH88" s="251">
        <v>28.1854963167</v>
      </c>
      <c r="BI88" s="251">
        <v>12.091990452400001</v>
      </c>
      <c r="BJ88" s="267">
        <v>4.0103895405000003</v>
      </c>
    </row>
    <row r="89" spans="1:62">
      <c r="A89" s="1378"/>
      <c r="B89" s="252" t="s">
        <v>138</v>
      </c>
      <c r="C89" s="253">
        <v>194</v>
      </c>
      <c r="D89" s="253">
        <v>246</v>
      </c>
      <c r="E89" s="253">
        <v>263</v>
      </c>
      <c r="F89" s="253">
        <v>227</v>
      </c>
      <c r="G89" s="253">
        <v>125</v>
      </c>
      <c r="H89" s="253">
        <v>151</v>
      </c>
      <c r="I89" s="253">
        <v>267</v>
      </c>
      <c r="J89" s="253">
        <v>297</v>
      </c>
      <c r="K89" s="253">
        <v>269</v>
      </c>
      <c r="L89" s="253">
        <v>252</v>
      </c>
      <c r="M89" s="253">
        <v>269</v>
      </c>
      <c r="N89" s="253">
        <v>161</v>
      </c>
      <c r="O89" s="253">
        <v>160</v>
      </c>
      <c r="P89" s="253">
        <v>124</v>
      </c>
      <c r="Q89" s="253">
        <v>76</v>
      </c>
      <c r="R89" s="253">
        <v>86</v>
      </c>
      <c r="S89" s="253">
        <v>36</v>
      </c>
      <c r="T89" s="253">
        <v>43</v>
      </c>
      <c r="U89" s="253">
        <v>24</v>
      </c>
      <c r="V89" s="260">
        <v>11</v>
      </c>
      <c r="W89" s="268">
        <v>182.97269300000002</v>
      </c>
      <c r="X89" s="253">
        <v>244.14998199999999</v>
      </c>
      <c r="Y89" s="253">
        <v>256.79064</v>
      </c>
      <c r="Z89" s="253">
        <v>243.86011400000001</v>
      </c>
      <c r="AA89" s="253">
        <v>143.63383300000001</v>
      </c>
      <c r="AB89" s="253">
        <v>126.90662</v>
      </c>
      <c r="AC89" s="253">
        <v>157.94454300000001</v>
      </c>
      <c r="AD89" s="253">
        <v>294.35678200000001</v>
      </c>
      <c r="AE89" s="253">
        <v>297.567723</v>
      </c>
      <c r="AF89" s="253">
        <v>286.40428300000002</v>
      </c>
      <c r="AG89" s="253">
        <v>268.57231000000002</v>
      </c>
      <c r="AH89" s="253">
        <v>249.94001999999998</v>
      </c>
      <c r="AI89" s="253">
        <v>240.383904</v>
      </c>
      <c r="AJ89" s="253">
        <v>164.10021899999998</v>
      </c>
      <c r="AK89" s="253">
        <v>149.68277499999999</v>
      </c>
      <c r="AL89" s="253">
        <v>106.557084</v>
      </c>
      <c r="AM89" s="253">
        <v>69.289332999999999</v>
      </c>
      <c r="AN89" s="253">
        <v>61.492174999999996</v>
      </c>
      <c r="AO89" s="253">
        <v>21.268107000000001</v>
      </c>
      <c r="AP89" s="269">
        <v>19.146073000000001</v>
      </c>
      <c r="AQ89" s="268">
        <v>226.63605895100002</v>
      </c>
      <c r="AR89" s="253">
        <v>263.04097943700003</v>
      </c>
      <c r="AS89" s="253">
        <v>273.86732080999997</v>
      </c>
      <c r="AT89" s="253">
        <v>240.41532013899999</v>
      </c>
      <c r="AU89" s="253">
        <v>116.756256428</v>
      </c>
      <c r="AV89" s="253">
        <v>187.83198230600001</v>
      </c>
      <c r="AW89" s="253">
        <v>236.53770726299999</v>
      </c>
      <c r="AX89" s="253">
        <v>224.92743984399999</v>
      </c>
      <c r="AY89" s="253">
        <v>329.45588465100002</v>
      </c>
      <c r="AZ89" s="253">
        <v>314.86838166699999</v>
      </c>
      <c r="BA89" s="253">
        <v>285.47875503500001</v>
      </c>
      <c r="BB89" s="253">
        <v>259.410058908</v>
      </c>
      <c r="BC89" s="253">
        <v>234.60737989499998</v>
      </c>
      <c r="BD89" s="253">
        <v>222.55838415900001</v>
      </c>
      <c r="BE89" s="253">
        <v>154.82542754400001</v>
      </c>
      <c r="BF89" s="253">
        <v>138.73428336000001</v>
      </c>
      <c r="BG89" s="253">
        <v>97.156848037000003</v>
      </c>
      <c r="BH89" s="253">
        <v>76.721925486000004</v>
      </c>
      <c r="BI89" s="253">
        <v>46.286219815999999</v>
      </c>
      <c r="BJ89" s="269">
        <v>11.029653209499999</v>
      </c>
    </row>
    <row r="90" spans="1:62">
      <c r="A90" s="1377" t="s">
        <v>316</v>
      </c>
      <c r="B90" s="250" t="s">
        <v>394</v>
      </c>
      <c r="C90" s="254">
        <v>27</v>
      </c>
      <c r="D90" s="254">
        <v>21</v>
      </c>
      <c r="E90" s="254">
        <v>16</v>
      </c>
      <c r="F90" s="254">
        <v>19</v>
      </c>
      <c r="G90" s="254">
        <v>10</v>
      </c>
      <c r="H90" s="254">
        <v>23</v>
      </c>
      <c r="I90" s="254">
        <v>27</v>
      </c>
      <c r="J90" s="254">
        <v>24</v>
      </c>
      <c r="K90" s="254">
        <v>20</v>
      </c>
      <c r="L90" s="254">
        <v>23</v>
      </c>
      <c r="M90" s="254">
        <v>16</v>
      </c>
      <c r="N90" s="254">
        <v>20</v>
      </c>
      <c r="O90" s="254">
        <v>21</v>
      </c>
      <c r="P90" s="254">
        <v>6</v>
      </c>
      <c r="Q90" s="254">
        <v>12</v>
      </c>
      <c r="R90" s="254">
        <v>4</v>
      </c>
      <c r="S90" s="254">
        <v>3</v>
      </c>
      <c r="T90" s="254">
        <v>1</v>
      </c>
      <c r="U90" s="254">
        <v>0</v>
      </c>
      <c r="V90" s="261">
        <v>0</v>
      </c>
      <c r="W90" s="270">
        <v>34.320554000000001</v>
      </c>
      <c r="X90" s="254">
        <v>53.799786999999995</v>
      </c>
      <c r="Y90" s="254">
        <v>38.030883000000003</v>
      </c>
      <c r="Z90" s="254">
        <v>25.044728000000003</v>
      </c>
      <c r="AA90" s="254">
        <v>15.768904000000001</v>
      </c>
      <c r="AB90" s="254">
        <v>25.044729000000004</v>
      </c>
      <c r="AC90" s="254">
        <v>37.103300999999995</v>
      </c>
      <c r="AD90" s="254">
        <v>49.161873999999997</v>
      </c>
      <c r="AE90" s="254">
        <v>39.886049</v>
      </c>
      <c r="AF90" s="254">
        <v>25.044727999999999</v>
      </c>
      <c r="AG90" s="254">
        <v>23.189563</v>
      </c>
      <c r="AH90" s="254">
        <v>17.624069000000002</v>
      </c>
      <c r="AI90" s="254">
        <v>21.334398999999998</v>
      </c>
      <c r="AJ90" s="254">
        <v>13.913739</v>
      </c>
      <c r="AK90" s="254">
        <v>12.058574</v>
      </c>
      <c r="AL90" s="254">
        <v>14.841321000000001</v>
      </c>
      <c r="AM90" s="254">
        <v>3.710331</v>
      </c>
      <c r="AN90" s="254">
        <v>3.710331</v>
      </c>
      <c r="AO90" s="254">
        <v>0</v>
      </c>
      <c r="AP90" s="271">
        <v>0</v>
      </c>
      <c r="AQ90" s="281">
        <v>63.449957947900003</v>
      </c>
      <c r="AR90" s="282">
        <v>44.509671993799998</v>
      </c>
      <c r="AS90" s="282">
        <v>54.926829267800002</v>
      </c>
      <c r="AT90" s="282">
        <v>31.251471824999999</v>
      </c>
      <c r="AU90" s="282">
        <v>24.622371740799998</v>
      </c>
      <c r="AV90" s="282">
        <v>26.5164003364</v>
      </c>
      <c r="AW90" s="282">
        <v>53.979814970199996</v>
      </c>
      <c r="AX90" s="282">
        <v>50.1917577802</v>
      </c>
      <c r="AY90" s="282">
        <v>48.297729183299992</v>
      </c>
      <c r="AZ90" s="282">
        <v>38.827586206899994</v>
      </c>
      <c r="BA90" s="282">
        <v>31.251471824999999</v>
      </c>
      <c r="BB90" s="282">
        <v>24.622371740899997</v>
      </c>
      <c r="BC90" s="282">
        <v>16.099243061399999</v>
      </c>
      <c r="BD90" s="282">
        <v>18.9402859546</v>
      </c>
      <c r="BE90" s="282">
        <v>12.311185870399999</v>
      </c>
      <c r="BF90" s="282">
        <v>10.417157275099999</v>
      </c>
      <c r="BG90" s="282">
        <v>9.4701429773000001</v>
      </c>
      <c r="BH90" s="282">
        <v>2.8410428931</v>
      </c>
      <c r="BI90" s="282">
        <v>0.94701429770000001</v>
      </c>
      <c r="BJ90" s="283">
        <v>0</v>
      </c>
    </row>
    <row r="91" spans="1:62">
      <c r="A91" s="1378"/>
      <c r="B91" s="252" t="s">
        <v>395</v>
      </c>
      <c r="C91" s="255">
        <v>16</v>
      </c>
      <c r="D91" s="255">
        <v>19</v>
      </c>
      <c r="E91" s="255">
        <v>19</v>
      </c>
      <c r="F91" s="255">
        <v>21</v>
      </c>
      <c r="G91" s="255">
        <v>16</v>
      </c>
      <c r="H91" s="255">
        <v>27</v>
      </c>
      <c r="I91" s="255">
        <v>20</v>
      </c>
      <c r="J91" s="255">
        <v>22</v>
      </c>
      <c r="K91" s="255">
        <v>23</v>
      </c>
      <c r="L91" s="255">
        <v>21</v>
      </c>
      <c r="M91" s="255">
        <v>25</v>
      </c>
      <c r="N91" s="255">
        <v>15</v>
      </c>
      <c r="O91" s="255">
        <v>19</v>
      </c>
      <c r="P91" s="255">
        <v>9</v>
      </c>
      <c r="Q91" s="255">
        <v>13</v>
      </c>
      <c r="R91" s="255">
        <v>6</v>
      </c>
      <c r="S91" s="255">
        <v>5</v>
      </c>
      <c r="T91" s="255">
        <v>5</v>
      </c>
      <c r="U91" s="255">
        <v>2</v>
      </c>
      <c r="V91" s="262">
        <v>0</v>
      </c>
      <c r="W91" s="272">
        <v>41.741213999999999</v>
      </c>
      <c r="X91" s="255">
        <v>46.379126999999997</v>
      </c>
      <c r="Y91" s="255">
        <v>26.899894</v>
      </c>
      <c r="Z91" s="255">
        <v>12.058572999999999</v>
      </c>
      <c r="AA91" s="255">
        <v>14.841322000000002</v>
      </c>
      <c r="AB91" s="255">
        <v>32.465389999999999</v>
      </c>
      <c r="AC91" s="255">
        <v>33.392972</v>
      </c>
      <c r="AD91" s="255">
        <v>43.596377999999994</v>
      </c>
      <c r="AE91" s="255">
        <v>35.248136000000002</v>
      </c>
      <c r="AF91" s="255">
        <v>22.261981000000002</v>
      </c>
      <c r="AG91" s="255">
        <v>21.334398</v>
      </c>
      <c r="AH91" s="255">
        <v>19.479233000000001</v>
      </c>
      <c r="AI91" s="255">
        <v>18.551652000000001</v>
      </c>
      <c r="AJ91" s="255">
        <v>15.768904000000001</v>
      </c>
      <c r="AK91" s="255">
        <v>12.986155</v>
      </c>
      <c r="AL91" s="255">
        <v>10.203409000000001</v>
      </c>
      <c r="AM91" s="255">
        <v>6.4930780000000006</v>
      </c>
      <c r="AN91" s="255">
        <v>1.855165</v>
      </c>
      <c r="AO91" s="255">
        <v>0</v>
      </c>
      <c r="AP91" s="273">
        <v>1.8551660000000001</v>
      </c>
      <c r="AQ91" s="284">
        <v>57.767872161000007</v>
      </c>
      <c r="AR91" s="285">
        <v>63.449957947599998</v>
      </c>
      <c r="AS91" s="285">
        <v>46.403700588599996</v>
      </c>
      <c r="AT91" s="285">
        <v>21.781328847700003</v>
      </c>
      <c r="AU91" s="285">
        <v>13.2582001683</v>
      </c>
      <c r="AV91" s="285">
        <v>35.039529015900001</v>
      </c>
      <c r="AW91" s="285">
        <v>75.761143818799994</v>
      </c>
      <c r="AX91" s="285">
        <v>44.509671993500007</v>
      </c>
      <c r="AY91" s="285">
        <v>41.668629100100006</v>
      </c>
      <c r="AZ91" s="285">
        <v>38.827586206900001</v>
      </c>
      <c r="BA91" s="285">
        <v>23.675357443099998</v>
      </c>
      <c r="BB91" s="285">
        <v>17.993271656899999</v>
      </c>
      <c r="BC91" s="285">
        <v>18.9402859546</v>
      </c>
      <c r="BD91" s="285">
        <v>22.728343145400004</v>
      </c>
      <c r="BE91" s="285">
        <v>16.099243061400003</v>
      </c>
      <c r="BF91" s="285">
        <v>10.417157275099999</v>
      </c>
      <c r="BG91" s="285">
        <v>10.417157275000001</v>
      </c>
      <c r="BH91" s="285">
        <v>2.8410428932</v>
      </c>
      <c r="BI91" s="285">
        <v>0.94701429770000001</v>
      </c>
      <c r="BJ91" s="286">
        <v>0</v>
      </c>
    </row>
    <row r="92" spans="1:62">
      <c r="A92" s="1377" t="s">
        <v>317</v>
      </c>
      <c r="B92" s="250" t="s">
        <v>396</v>
      </c>
      <c r="C92" s="251">
        <v>18</v>
      </c>
      <c r="D92" s="251">
        <v>15</v>
      </c>
      <c r="E92" s="251">
        <v>8</v>
      </c>
      <c r="F92" s="251">
        <v>12</v>
      </c>
      <c r="G92" s="251">
        <v>11</v>
      </c>
      <c r="H92" s="251">
        <v>13</v>
      </c>
      <c r="I92" s="251">
        <v>23</v>
      </c>
      <c r="J92" s="251">
        <v>16</v>
      </c>
      <c r="K92" s="251">
        <v>17</v>
      </c>
      <c r="L92" s="251">
        <v>23</v>
      </c>
      <c r="M92" s="251">
        <v>14</v>
      </c>
      <c r="N92" s="251">
        <v>18</v>
      </c>
      <c r="O92" s="251">
        <v>19</v>
      </c>
      <c r="P92" s="251">
        <v>14</v>
      </c>
      <c r="Q92" s="251">
        <v>16</v>
      </c>
      <c r="R92" s="251">
        <v>11</v>
      </c>
      <c r="S92" s="251">
        <v>4</v>
      </c>
      <c r="T92" s="251">
        <v>2</v>
      </c>
      <c r="U92" s="251">
        <v>5</v>
      </c>
      <c r="V92" s="259">
        <v>1</v>
      </c>
      <c r="W92" s="266">
        <v>15.119057999999999</v>
      </c>
      <c r="X92" s="251">
        <v>12.107495</v>
      </c>
      <c r="Y92" s="251">
        <v>15.145303999999999</v>
      </c>
      <c r="Z92" s="251">
        <v>11.106557</v>
      </c>
      <c r="AA92" s="251">
        <v>9.0784339999999997</v>
      </c>
      <c r="AB92" s="251">
        <v>12.116242999999999</v>
      </c>
      <c r="AC92" s="251">
        <v>14.135617</v>
      </c>
      <c r="AD92" s="251">
        <v>21.203425000000003</v>
      </c>
      <c r="AE92" s="251">
        <v>15.145304000000001</v>
      </c>
      <c r="AF92" s="251">
        <v>15.145303999999999</v>
      </c>
      <c r="AG92" s="251">
        <v>15.145305</v>
      </c>
      <c r="AH92" s="251">
        <v>27.261545999999999</v>
      </c>
      <c r="AI92" s="251">
        <v>22.204362</v>
      </c>
      <c r="AJ92" s="251">
        <v>19.184052000000001</v>
      </c>
      <c r="AK92" s="251">
        <v>14.135618000000001</v>
      </c>
      <c r="AL92" s="251">
        <v>10.096869999999999</v>
      </c>
      <c r="AM92" s="251">
        <v>12.116244</v>
      </c>
      <c r="AN92" s="251">
        <v>5.0484349999999996</v>
      </c>
      <c r="AO92" s="251">
        <v>1.009687</v>
      </c>
      <c r="AP92" s="267">
        <v>0</v>
      </c>
      <c r="AQ92" s="266">
        <v>13.766613377900001</v>
      </c>
      <c r="AR92" s="251">
        <v>16.68914762</v>
      </c>
      <c r="AS92" s="251">
        <v>13.7142385812</v>
      </c>
      <c r="AT92" s="251">
        <v>8.8159214981999998</v>
      </c>
      <c r="AU92" s="251">
        <v>5.9630094621000005</v>
      </c>
      <c r="AV92" s="251">
        <v>16.001816285699999</v>
      </c>
      <c r="AW92" s="251">
        <v>9.9222686066000012</v>
      </c>
      <c r="AX92" s="251">
        <v>14.787857189099999</v>
      </c>
      <c r="AY92" s="251">
        <v>20.859615891799997</v>
      </c>
      <c r="AZ92" s="251">
        <v>12.900337370300001</v>
      </c>
      <c r="BA92" s="251">
        <v>11.953167070300001</v>
      </c>
      <c r="BB92" s="251">
        <v>8.922186334300001</v>
      </c>
      <c r="BC92" s="251">
        <v>24.004802720499995</v>
      </c>
      <c r="BD92" s="251">
        <v>14.044186087</v>
      </c>
      <c r="BE92" s="251">
        <v>21.036709699199999</v>
      </c>
      <c r="BF92" s="251">
        <v>14.0273362121</v>
      </c>
      <c r="BG92" s="251">
        <v>8.0467420080000007</v>
      </c>
      <c r="BH92" s="251">
        <v>3.0039126774999998</v>
      </c>
      <c r="BI92" s="251">
        <v>1.9936129476</v>
      </c>
      <c r="BJ92" s="267">
        <v>0</v>
      </c>
    </row>
    <row r="93" spans="1:62">
      <c r="A93" s="1378"/>
      <c r="B93" s="252" t="s">
        <v>397</v>
      </c>
      <c r="C93" s="253">
        <v>15</v>
      </c>
      <c r="D93" s="253">
        <v>16</v>
      </c>
      <c r="E93" s="253">
        <v>7</v>
      </c>
      <c r="F93" s="253">
        <v>11</v>
      </c>
      <c r="G93" s="253">
        <v>6</v>
      </c>
      <c r="H93" s="253">
        <v>12</v>
      </c>
      <c r="I93" s="253">
        <v>20</v>
      </c>
      <c r="J93" s="253">
        <v>16</v>
      </c>
      <c r="K93" s="253">
        <v>19</v>
      </c>
      <c r="L93" s="253">
        <v>11</v>
      </c>
      <c r="M93" s="253">
        <v>16</v>
      </c>
      <c r="N93" s="253">
        <v>11</v>
      </c>
      <c r="O93" s="253">
        <v>13</v>
      </c>
      <c r="P93" s="253">
        <v>28</v>
      </c>
      <c r="Q93" s="253">
        <v>21</v>
      </c>
      <c r="R93" s="253">
        <v>10</v>
      </c>
      <c r="S93" s="253">
        <v>6</v>
      </c>
      <c r="T93" s="253">
        <v>5</v>
      </c>
      <c r="U93" s="253">
        <v>3</v>
      </c>
      <c r="V93" s="260">
        <v>0</v>
      </c>
      <c r="W93" s="268">
        <v>8.077496</v>
      </c>
      <c r="X93" s="253">
        <v>15.145303999999999</v>
      </c>
      <c r="Y93" s="253">
        <v>12.116244</v>
      </c>
      <c r="Z93" s="253">
        <v>19.184051</v>
      </c>
      <c r="AA93" s="253">
        <v>6.0318750000000003</v>
      </c>
      <c r="AB93" s="253">
        <v>22.204363000000001</v>
      </c>
      <c r="AC93" s="253">
        <v>13.117181</v>
      </c>
      <c r="AD93" s="253">
        <v>16.154992</v>
      </c>
      <c r="AE93" s="253">
        <v>16.154990000000002</v>
      </c>
      <c r="AF93" s="253">
        <v>12.116242</v>
      </c>
      <c r="AG93" s="253">
        <v>23.222799000000002</v>
      </c>
      <c r="AH93" s="253">
        <v>12.107495</v>
      </c>
      <c r="AI93" s="253">
        <v>16.154990000000002</v>
      </c>
      <c r="AJ93" s="253">
        <v>16.154990999999999</v>
      </c>
      <c r="AK93" s="253">
        <v>10.096869999999999</v>
      </c>
      <c r="AL93" s="253">
        <v>23.222798999999998</v>
      </c>
      <c r="AM93" s="253">
        <v>16.154990999999999</v>
      </c>
      <c r="AN93" s="253">
        <v>5.0484349999999996</v>
      </c>
      <c r="AO93" s="253">
        <v>2.019374</v>
      </c>
      <c r="AP93" s="269">
        <v>1.009687</v>
      </c>
      <c r="AQ93" s="268">
        <v>19.648877943400002</v>
      </c>
      <c r="AR93" s="253">
        <v>10.773955772000001</v>
      </c>
      <c r="AS93" s="253">
        <v>14.6637514338</v>
      </c>
      <c r="AT93" s="253">
        <v>5.8917691293000001</v>
      </c>
      <c r="AU93" s="253">
        <v>11.916942606299999</v>
      </c>
      <c r="AV93" s="253">
        <v>14.954715202400001</v>
      </c>
      <c r="AW93" s="253">
        <v>15.798227652800001</v>
      </c>
      <c r="AX93" s="253">
        <v>15.778701509700001</v>
      </c>
      <c r="AY93" s="253">
        <v>16.852792748399999</v>
      </c>
      <c r="AZ93" s="253">
        <v>14.9570819391</v>
      </c>
      <c r="BA93" s="253">
        <v>9.9774665083000009</v>
      </c>
      <c r="BB93" s="253">
        <v>18.005566603200002</v>
      </c>
      <c r="BC93" s="253">
        <v>13.015894616300001</v>
      </c>
      <c r="BD93" s="253">
        <v>20.026409969299998</v>
      </c>
      <c r="BE93" s="253">
        <v>13.044186087</v>
      </c>
      <c r="BF93" s="253">
        <v>9.048046233900001</v>
      </c>
      <c r="BG93" s="253">
        <v>17.085711191799998</v>
      </c>
      <c r="BH93" s="253">
        <v>11.096039937499999</v>
      </c>
      <c r="BI93" s="253">
        <v>1.0103812762</v>
      </c>
      <c r="BJ93" s="269">
        <v>0</v>
      </c>
    </row>
    <row r="94" spans="1:62">
      <c r="A94" s="1377" t="s">
        <v>318</v>
      </c>
      <c r="B94" s="250" t="s">
        <v>398</v>
      </c>
      <c r="C94" s="254">
        <v>29</v>
      </c>
      <c r="D94" s="254">
        <v>19</v>
      </c>
      <c r="E94" s="254">
        <v>19</v>
      </c>
      <c r="F94" s="254">
        <v>23</v>
      </c>
      <c r="G94" s="254">
        <v>12</v>
      </c>
      <c r="H94" s="254">
        <v>17</v>
      </c>
      <c r="I94" s="254">
        <v>27</v>
      </c>
      <c r="J94" s="254">
        <v>30</v>
      </c>
      <c r="K94" s="254">
        <v>25</v>
      </c>
      <c r="L94" s="254">
        <v>34</v>
      </c>
      <c r="M94" s="254">
        <v>20</v>
      </c>
      <c r="N94" s="254">
        <v>14</v>
      </c>
      <c r="O94" s="254">
        <v>20</v>
      </c>
      <c r="P94" s="254">
        <v>22</v>
      </c>
      <c r="Q94" s="254">
        <v>21</v>
      </c>
      <c r="R94" s="254">
        <v>17</v>
      </c>
      <c r="S94" s="254">
        <v>4</v>
      </c>
      <c r="T94" s="254">
        <v>7</v>
      </c>
      <c r="U94" s="254">
        <v>1</v>
      </c>
      <c r="V94" s="261">
        <v>0</v>
      </c>
      <c r="W94" s="270">
        <v>49.714438999999999</v>
      </c>
      <c r="X94" s="254">
        <v>36.543472999999999</v>
      </c>
      <c r="Y94" s="254">
        <v>42.621194000000003</v>
      </c>
      <c r="Z94" s="254">
        <v>22.341552999999998</v>
      </c>
      <c r="AA94" s="254">
        <v>19.233256000000001</v>
      </c>
      <c r="AB94" s="254">
        <v>32.450511999999996</v>
      </c>
      <c r="AC94" s="254">
        <v>43.667579000000003</v>
      </c>
      <c r="AD94" s="254">
        <v>38.574525000000001</v>
      </c>
      <c r="AE94" s="254">
        <v>41.636528999999996</v>
      </c>
      <c r="AF94" s="254">
        <v>31.465848999999999</v>
      </c>
      <c r="AG94" s="254">
        <v>27.419179</v>
      </c>
      <c r="AH94" s="254">
        <v>29.450228999999997</v>
      </c>
      <c r="AI94" s="254">
        <v>23.357076999999997</v>
      </c>
      <c r="AJ94" s="254">
        <v>9.1397250000000003</v>
      </c>
      <c r="AK94" s="254">
        <v>16.248402000000002</v>
      </c>
      <c r="AL94" s="254">
        <v>20.310502</v>
      </c>
      <c r="AM94" s="254">
        <v>15.232875</v>
      </c>
      <c r="AN94" s="254">
        <v>5.0776249999999994</v>
      </c>
      <c r="AO94" s="254">
        <v>0</v>
      </c>
      <c r="AP94" s="271">
        <v>1.015525</v>
      </c>
      <c r="AQ94" s="281">
        <v>31.404143354199995</v>
      </c>
      <c r="AR94" s="282">
        <v>45.083127247299998</v>
      </c>
      <c r="AS94" s="282">
        <v>35.361292072600001</v>
      </c>
      <c r="AT94" s="282">
        <v>35.374239276799997</v>
      </c>
      <c r="AU94" s="282">
        <v>15.9241681923</v>
      </c>
      <c r="AV94" s="282">
        <v>28.994653984199999</v>
      </c>
      <c r="AW94" s="282">
        <v>32.667143440100006</v>
      </c>
      <c r="AX94" s="282">
        <v>36.486625605200004</v>
      </c>
      <c r="AY94" s="282">
        <v>33.651871329400002</v>
      </c>
      <c r="AZ94" s="282">
        <v>40.621388320599998</v>
      </c>
      <c r="BA94" s="282">
        <v>31.1634296123</v>
      </c>
      <c r="BB94" s="282">
        <v>29.165314847000001</v>
      </c>
      <c r="BC94" s="282">
        <v>27.2658530675</v>
      </c>
      <c r="BD94" s="282">
        <v>23.191016814800001</v>
      </c>
      <c r="BE94" s="282">
        <v>10.141447576000001</v>
      </c>
      <c r="BF94" s="282">
        <v>14.123797810999999</v>
      </c>
      <c r="BG94" s="282">
        <v>15.119858044099999</v>
      </c>
      <c r="BH94" s="282">
        <v>13.128426124599999</v>
      </c>
      <c r="BI94" s="282">
        <v>4.0354941587999997</v>
      </c>
      <c r="BJ94" s="283">
        <v>1.0221163462</v>
      </c>
    </row>
    <row r="95" spans="1:62">
      <c r="A95" s="1378"/>
      <c r="B95" s="252" t="s">
        <v>399</v>
      </c>
      <c r="C95" s="255">
        <v>18</v>
      </c>
      <c r="D95" s="255">
        <v>21</v>
      </c>
      <c r="E95" s="255">
        <v>22</v>
      </c>
      <c r="F95" s="255">
        <v>18</v>
      </c>
      <c r="G95" s="255">
        <v>15</v>
      </c>
      <c r="H95" s="255">
        <v>18</v>
      </c>
      <c r="I95" s="255">
        <v>18</v>
      </c>
      <c r="J95" s="255">
        <v>37</v>
      </c>
      <c r="K95" s="255">
        <v>22</v>
      </c>
      <c r="L95" s="255">
        <v>25</v>
      </c>
      <c r="M95" s="255">
        <v>17</v>
      </c>
      <c r="N95" s="255">
        <v>15</v>
      </c>
      <c r="O95" s="255">
        <v>24</v>
      </c>
      <c r="P95" s="255">
        <v>26</v>
      </c>
      <c r="Q95" s="255">
        <v>16</v>
      </c>
      <c r="R95" s="255">
        <v>17</v>
      </c>
      <c r="S95" s="255">
        <v>11</v>
      </c>
      <c r="T95" s="255">
        <v>11</v>
      </c>
      <c r="U95" s="255">
        <v>1</v>
      </c>
      <c r="V95" s="262">
        <v>0</v>
      </c>
      <c r="W95" s="272">
        <v>44.652243999999996</v>
      </c>
      <c r="X95" s="255">
        <v>46.683294000000004</v>
      </c>
      <c r="Y95" s="255">
        <v>25.388127999999998</v>
      </c>
      <c r="Z95" s="255">
        <v>27.403746999999999</v>
      </c>
      <c r="AA95" s="255">
        <v>16.217541000000001</v>
      </c>
      <c r="AB95" s="255">
        <v>42.590333000000001</v>
      </c>
      <c r="AC95" s="255">
        <v>32.481372999999998</v>
      </c>
      <c r="AD95" s="255">
        <v>42.652054000000007</v>
      </c>
      <c r="AE95" s="255">
        <v>30.450323000000001</v>
      </c>
      <c r="AF95" s="255">
        <v>36.543472999999999</v>
      </c>
      <c r="AG95" s="255">
        <v>27.419177999999999</v>
      </c>
      <c r="AH95" s="255">
        <v>25.388128999999999</v>
      </c>
      <c r="AI95" s="255">
        <v>20.310502000000003</v>
      </c>
      <c r="AJ95" s="255">
        <v>14.217351000000001</v>
      </c>
      <c r="AK95" s="255">
        <v>26.403652999999998</v>
      </c>
      <c r="AL95" s="255">
        <v>19.294976000000002</v>
      </c>
      <c r="AM95" s="255">
        <v>13.201824999999999</v>
      </c>
      <c r="AN95" s="255">
        <v>11.170776</v>
      </c>
      <c r="AO95" s="255">
        <v>0</v>
      </c>
      <c r="AP95" s="273">
        <v>2.03105</v>
      </c>
      <c r="AQ95" s="284">
        <v>41.224064962</v>
      </c>
      <c r="AR95" s="285">
        <v>36.407777611599997</v>
      </c>
      <c r="AS95" s="285">
        <v>40.095809949900001</v>
      </c>
      <c r="AT95" s="285">
        <v>22.695587513900001</v>
      </c>
      <c r="AU95" s="285">
        <v>19.925962455000001</v>
      </c>
      <c r="AV95" s="285">
        <v>25.003388057599999</v>
      </c>
      <c r="AW95" s="285">
        <v>48.435147592999996</v>
      </c>
      <c r="AX95" s="285">
        <v>31.478026588999999</v>
      </c>
      <c r="AY95" s="285">
        <v>40.491610280499998</v>
      </c>
      <c r="AZ95" s="285">
        <v>33.783556907399998</v>
      </c>
      <c r="BA95" s="285">
        <v>33.053545148499992</v>
      </c>
      <c r="BB95" s="285">
        <v>28.147313181299999</v>
      </c>
      <c r="BC95" s="285">
        <v>24.291644651300004</v>
      </c>
      <c r="BD95" s="285">
        <v>18.120966005099998</v>
      </c>
      <c r="BE95" s="285">
        <v>14.1372564899</v>
      </c>
      <c r="BF95" s="285">
        <v>21.265326253399998</v>
      </c>
      <c r="BG95" s="285">
        <v>17.256404056499999</v>
      </c>
      <c r="BH95" s="285">
        <v>8.1106735625000006</v>
      </c>
      <c r="BI95" s="285">
        <v>8.1505315054</v>
      </c>
      <c r="BJ95" s="286">
        <v>0</v>
      </c>
    </row>
    <row r="96" spans="1:62">
      <c r="A96" s="1377" t="s">
        <v>324</v>
      </c>
      <c r="B96" s="250" t="s">
        <v>400</v>
      </c>
      <c r="C96" s="251">
        <v>33</v>
      </c>
      <c r="D96" s="251">
        <v>30</v>
      </c>
      <c r="E96" s="251">
        <v>35</v>
      </c>
      <c r="F96" s="251">
        <v>33</v>
      </c>
      <c r="G96" s="251">
        <v>22</v>
      </c>
      <c r="H96" s="251">
        <v>33</v>
      </c>
      <c r="I96" s="251">
        <v>38</v>
      </c>
      <c r="J96" s="251">
        <v>40</v>
      </c>
      <c r="K96" s="251">
        <v>36</v>
      </c>
      <c r="L96" s="251">
        <v>34</v>
      </c>
      <c r="M96" s="251">
        <v>40</v>
      </c>
      <c r="N96" s="251">
        <v>28</v>
      </c>
      <c r="O96" s="251">
        <v>25</v>
      </c>
      <c r="P96" s="251">
        <v>13</v>
      </c>
      <c r="Q96" s="251">
        <v>20</v>
      </c>
      <c r="R96" s="251">
        <v>16</v>
      </c>
      <c r="S96" s="251">
        <v>8</v>
      </c>
      <c r="T96" s="251">
        <v>9</v>
      </c>
      <c r="U96" s="251">
        <v>2</v>
      </c>
      <c r="V96" s="259">
        <v>1</v>
      </c>
      <c r="W96" s="266">
        <v>55</v>
      </c>
      <c r="X96" s="251">
        <v>50</v>
      </c>
      <c r="Y96" s="251">
        <v>50</v>
      </c>
      <c r="Z96" s="251">
        <v>29</v>
      </c>
      <c r="AA96" s="251">
        <v>31</v>
      </c>
      <c r="AB96" s="251">
        <v>46</v>
      </c>
      <c r="AC96" s="251">
        <v>49</v>
      </c>
      <c r="AD96" s="251">
        <v>62</v>
      </c>
      <c r="AE96" s="251">
        <v>38</v>
      </c>
      <c r="AF96" s="251">
        <v>43</v>
      </c>
      <c r="AG96" s="251">
        <v>48</v>
      </c>
      <c r="AH96" s="251">
        <v>30</v>
      </c>
      <c r="AI96" s="251">
        <v>36</v>
      </c>
      <c r="AJ96" s="251">
        <v>26</v>
      </c>
      <c r="AK96" s="251">
        <v>19</v>
      </c>
      <c r="AL96" s="251">
        <v>9</v>
      </c>
      <c r="AM96" s="251">
        <v>10</v>
      </c>
      <c r="AN96" s="251">
        <v>10</v>
      </c>
      <c r="AO96" s="251">
        <v>0</v>
      </c>
      <c r="AP96" s="267">
        <v>0</v>
      </c>
      <c r="AQ96" s="266">
        <v>63</v>
      </c>
      <c r="AR96" s="251">
        <v>61</v>
      </c>
      <c r="AS96" s="251">
        <v>49</v>
      </c>
      <c r="AT96" s="251">
        <v>50</v>
      </c>
      <c r="AU96" s="251">
        <v>24</v>
      </c>
      <c r="AV96" s="251">
        <v>27</v>
      </c>
      <c r="AW96" s="251">
        <v>52</v>
      </c>
      <c r="AX96" s="251">
        <v>46</v>
      </c>
      <c r="AY96" s="251">
        <v>62</v>
      </c>
      <c r="AZ96" s="251">
        <v>43</v>
      </c>
      <c r="BA96" s="251">
        <v>42</v>
      </c>
      <c r="BB96" s="251">
        <v>54</v>
      </c>
      <c r="BC96" s="251">
        <v>31</v>
      </c>
      <c r="BD96" s="251">
        <v>35</v>
      </c>
      <c r="BE96" s="251">
        <v>27</v>
      </c>
      <c r="BF96" s="251">
        <v>19</v>
      </c>
      <c r="BG96" s="251">
        <v>6</v>
      </c>
      <c r="BH96" s="251">
        <v>6</v>
      </c>
      <c r="BI96" s="251">
        <v>5</v>
      </c>
      <c r="BJ96" s="267">
        <v>0</v>
      </c>
    </row>
    <row r="97" spans="1:62">
      <c r="A97" s="1378"/>
      <c r="B97" s="252" t="s">
        <v>401</v>
      </c>
      <c r="C97" s="253">
        <v>38</v>
      </c>
      <c r="D97" s="253">
        <v>30</v>
      </c>
      <c r="E97" s="253">
        <v>39</v>
      </c>
      <c r="F97" s="253">
        <v>26</v>
      </c>
      <c r="G97" s="253">
        <v>20</v>
      </c>
      <c r="H97" s="253">
        <v>31</v>
      </c>
      <c r="I97" s="253">
        <v>47</v>
      </c>
      <c r="J97" s="253">
        <v>26</v>
      </c>
      <c r="K97" s="253">
        <v>41</v>
      </c>
      <c r="L97" s="253">
        <v>37</v>
      </c>
      <c r="M97" s="253">
        <v>31</v>
      </c>
      <c r="N97" s="253">
        <v>22</v>
      </c>
      <c r="O97" s="253">
        <v>30</v>
      </c>
      <c r="P97" s="253">
        <v>24</v>
      </c>
      <c r="Q97" s="253">
        <v>23</v>
      </c>
      <c r="R97" s="253">
        <v>11</v>
      </c>
      <c r="S97" s="253">
        <v>12</v>
      </c>
      <c r="T97" s="253">
        <v>12</v>
      </c>
      <c r="U97" s="253">
        <v>8</v>
      </c>
      <c r="V97" s="260">
        <v>1</v>
      </c>
      <c r="W97" s="268">
        <v>62</v>
      </c>
      <c r="X97" s="253">
        <v>41</v>
      </c>
      <c r="Y97" s="253">
        <v>36</v>
      </c>
      <c r="Z97" s="253">
        <v>36</v>
      </c>
      <c r="AA97" s="253">
        <v>33</v>
      </c>
      <c r="AB97" s="253">
        <v>39</v>
      </c>
      <c r="AC97" s="253">
        <v>46</v>
      </c>
      <c r="AD97" s="253">
        <v>57</v>
      </c>
      <c r="AE97" s="253">
        <v>39</v>
      </c>
      <c r="AF97" s="253">
        <v>41</v>
      </c>
      <c r="AG97" s="253">
        <v>44</v>
      </c>
      <c r="AH97" s="253">
        <v>27</v>
      </c>
      <c r="AI97" s="253">
        <v>41</v>
      </c>
      <c r="AJ97" s="253">
        <v>17</v>
      </c>
      <c r="AK97" s="253">
        <v>25</v>
      </c>
      <c r="AL97" s="253">
        <v>20</v>
      </c>
      <c r="AM97" s="253">
        <v>13</v>
      </c>
      <c r="AN97" s="253">
        <v>10</v>
      </c>
      <c r="AO97" s="253">
        <v>4</v>
      </c>
      <c r="AP97" s="269">
        <v>5</v>
      </c>
      <c r="AQ97" s="268">
        <v>53</v>
      </c>
      <c r="AR97" s="253">
        <v>56</v>
      </c>
      <c r="AS97" s="253">
        <v>44</v>
      </c>
      <c r="AT97" s="253">
        <v>34</v>
      </c>
      <c r="AU97" s="253">
        <v>19</v>
      </c>
      <c r="AV97" s="253">
        <v>38</v>
      </c>
      <c r="AW97" s="253">
        <v>46</v>
      </c>
      <c r="AX97" s="253">
        <v>45</v>
      </c>
      <c r="AY97" s="253">
        <v>59</v>
      </c>
      <c r="AZ97" s="253">
        <v>43</v>
      </c>
      <c r="BA97" s="253">
        <v>44</v>
      </c>
      <c r="BB97" s="253">
        <v>48</v>
      </c>
      <c r="BC97" s="253">
        <v>35</v>
      </c>
      <c r="BD97" s="253">
        <v>36</v>
      </c>
      <c r="BE97" s="253">
        <v>17</v>
      </c>
      <c r="BF97" s="253">
        <v>19</v>
      </c>
      <c r="BG97" s="253">
        <v>15</v>
      </c>
      <c r="BH97" s="253">
        <v>12</v>
      </c>
      <c r="BI97" s="253">
        <v>8</v>
      </c>
      <c r="BJ97" s="269">
        <v>4</v>
      </c>
    </row>
    <row r="98" spans="1:62">
      <c r="A98" s="1377" t="s">
        <v>27</v>
      </c>
      <c r="B98" s="250" t="s">
        <v>139</v>
      </c>
      <c r="C98" s="254">
        <v>65</v>
      </c>
      <c r="D98" s="254">
        <v>96</v>
      </c>
      <c r="E98" s="254">
        <v>102</v>
      </c>
      <c r="F98" s="254">
        <v>87</v>
      </c>
      <c r="G98" s="254">
        <v>54</v>
      </c>
      <c r="H98" s="254">
        <v>50</v>
      </c>
      <c r="I98" s="254">
        <v>84</v>
      </c>
      <c r="J98" s="254">
        <v>107</v>
      </c>
      <c r="K98" s="254">
        <v>115</v>
      </c>
      <c r="L98" s="254">
        <v>93</v>
      </c>
      <c r="M98" s="254">
        <v>51</v>
      </c>
      <c r="N98" s="254">
        <v>41</v>
      </c>
      <c r="O98" s="254">
        <v>55</v>
      </c>
      <c r="P98" s="254">
        <v>48</v>
      </c>
      <c r="Q98" s="254">
        <v>31</v>
      </c>
      <c r="R98" s="254">
        <v>29</v>
      </c>
      <c r="S98" s="254">
        <v>7</v>
      </c>
      <c r="T98" s="254">
        <v>10</v>
      </c>
      <c r="U98" s="254">
        <v>2</v>
      </c>
      <c r="V98" s="261">
        <v>1</v>
      </c>
      <c r="W98" s="270">
        <v>75.053892000000005</v>
      </c>
      <c r="X98" s="254">
        <v>83.281645000000012</v>
      </c>
      <c r="Y98" s="254">
        <v>80.471153000000001</v>
      </c>
      <c r="Z98" s="254">
        <v>81.962939000000006</v>
      </c>
      <c r="AA98" s="254">
        <v>59.793433</v>
      </c>
      <c r="AB98" s="254">
        <v>42.727477000000007</v>
      </c>
      <c r="AC98" s="254">
        <v>82.943487000000005</v>
      </c>
      <c r="AD98" s="254">
        <v>89.790341000000012</v>
      </c>
      <c r="AE98" s="254">
        <v>106.40907</v>
      </c>
      <c r="AF98" s="254">
        <v>114.830017</v>
      </c>
      <c r="AG98" s="254">
        <v>107.337872</v>
      </c>
      <c r="AH98" s="254">
        <v>86.283442000000008</v>
      </c>
      <c r="AI98" s="254">
        <v>52.273693999999999</v>
      </c>
      <c r="AJ98" s="254">
        <v>43.979414999999996</v>
      </c>
      <c r="AK98" s="254">
        <v>48.269008999999997</v>
      </c>
      <c r="AL98" s="254">
        <v>34.511369000000002</v>
      </c>
      <c r="AM98" s="254">
        <v>19.400466999999999</v>
      </c>
      <c r="AN98" s="254">
        <v>7.5392120000000009</v>
      </c>
      <c r="AO98" s="254">
        <v>0</v>
      </c>
      <c r="AP98" s="271">
        <v>1.0723910000000001</v>
      </c>
      <c r="AQ98" s="281">
        <v>75.322946707100002</v>
      </c>
      <c r="AR98" s="282">
        <v>95.858885270000002</v>
      </c>
      <c r="AS98" s="282">
        <v>93.446270508000012</v>
      </c>
      <c r="AT98" s="282">
        <v>71.585400926000005</v>
      </c>
      <c r="AU98" s="282">
        <v>55.869685216699992</v>
      </c>
      <c r="AV98" s="282">
        <v>54.582726301099996</v>
      </c>
      <c r="AW98" s="282">
        <v>81.651444417999997</v>
      </c>
      <c r="AX98" s="282">
        <v>104.53566191900001</v>
      </c>
      <c r="AY98" s="282">
        <v>94.963782338999991</v>
      </c>
      <c r="AZ98" s="282">
        <v>104.94099179700001</v>
      </c>
      <c r="BA98" s="282">
        <v>108.60486727999999</v>
      </c>
      <c r="BB98" s="282">
        <v>111.69551304800001</v>
      </c>
      <c r="BC98" s="282">
        <v>86.557964839999983</v>
      </c>
      <c r="BD98" s="282">
        <v>48.538901801199998</v>
      </c>
      <c r="BE98" s="282">
        <v>38.459324856899997</v>
      </c>
      <c r="BF98" s="282">
        <v>39.349788360800005</v>
      </c>
      <c r="BG98" s="282">
        <v>28.014972801699997</v>
      </c>
      <c r="BH98" s="282">
        <v>11.389555850700001</v>
      </c>
      <c r="BI98" s="282">
        <v>4.1219548220999993</v>
      </c>
      <c r="BJ98" s="283">
        <v>0</v>
      </c>
    </row>
    <row r="99" spans="1:62">
      <c r="A99" s="1378"/>
      <c r="B99" s="252" t="s">
        <v>140</v>
      </c>
      <c r="C99" s="255">
        <v>54</v>
      </c>
      <c r="D99" s="255">
        <v>88</v>
      </c>
      <c r="E99" s="255">
        <v>93</v>
      </c>
      <c r="F99" s="255">
        <v>81</v>
      </c>
      <c r="G99" s="255">
        <v>38</v>
      </c>
      <c r="H99" s="255">
        <v>73</v>
      </c>
      <c r="I99" s="255">
        <v>76</v>
      </c>
      <c r="J99" s="255">
        <v>107</v>
      </c>
      <c r="K99" s="255">
        <v>106</v>
      </c>
      <c r="L99" s="255">
        <v>74</v>
      </c>
      <c r="M99" s="255">
        <v>58</v>
      </c>
      <c r="N99" s="255">
        <v>38</v>
      </c>
      <c r="O99" s="255">
        <v>50</v>
      </c>
      <c r="P99" s="255">
        <v>34</v>
      </c>
      <c r="Q99" s="255">
        <v>50</v>
      </c>
      <c r="R99" s="255">
        <v>34</v>
      </c>
      <c r="S99" s="255">
        <v>12</v>
      </c>
      <c r="T99" s="255">
        <v>15</v>
      </c>
      <c r="U99" s="255">
        <v>2</v>
      </c>
      <c r="V99" s="262">
        <v>1</v>
      </c>
      <c r="W99" s="272">
        <v>87.601067</v>
      </c>
      <c r="X99" s="255">
        <v>75.433374000000001</v>
      </c>
      <c r="Y99" s="255">
        <v>70.174043999999995</v>
      </c>
      <c r="Z99" s="255">
        <v>87.345460000000003</v>
      </c>
      <c r="AA99" s="255">
        <v>51.830855</v>
      </c>
      <c r="AB99" s="255">
        <v>54.455373000000002</v>
      </c>
      <c r="AC99" s="255">
        <v>80.883279000000002</v>
      </c>
      <c r="AD99" s="255">
        <v>107.779129</v>
      </c>
      <c r="AE99" s="255">
        <v>96.537847999999997</v>
      </c>
      <c r="AF99" s="255">
        <v>108.053889</v>
      </c>
      <c r="AG99" s="255">
        <v>95.399127000000007</v>
      </c>
      <c r="AH99" s="255">
        <v>74.768090999999998</v>
      </c>
      <c r="AI99" s="255">
        <v>60.852795999999998</v>
      </c>
      <c r="AJ99" s="255">
        <v>36.496643000000006</v>
      </c>
      <c r="AK99" s="255">
        <v>44.036811</v>
      </c>
      <c r="AL99" s="255">
        <v>33.570784000000003</v>
      </c>
      <c r="AM99" s="255">
        <v>33.927046000000004</v>
      </c>
      <c r="AN99" s="255">
        <v>18.335654999999999</v>
      </c>
      <c r="AO99" s="255">
        <v>5.2738029999999991</v>
      </c>
      <c r="AP99" s="273">
        <v>3.314597</v>
      </c>
      <c r="AQ99" s="284">
        <v>89.255278430000004</v>
      </c>
      <c r="AR99" s="285">
        <v>96.440274809999991</v>
      </c>
      <c r="AS99" s="285">
        <v>79.898774599999996</v>
      </c>
      <c r="AT99" s="285">
        <v>62.4820308193</v>
      </c>
      <c r="AU99" s="285">
        <v>50.1157505969</v>
      </c>
      <c r="AV99" s="285">
        <v>71.745723079299992</v>
      </c>
      <c r="AW99" s="285">
        <v>88.215971342000003</v>
      </c>
      <c r="AX99" s="285">
        <v>87.415950108999994</v>
      </c>
      <c r="AY99" s="285">
        <v>109.42411523300001</v>
      </c>
      <c r="AZ99" s="285">
        <v>95.422083478000005</v>
      </c>
      <c r="BA99" s="285">
        <v>107.67533747399999</v>
      </c>
      <c r="BB99" s="285">
        <v>88.395892787999998</v>
      </c>
      <c r="BC99" s="285">
        <v>67.114675335599998</v>
      </c>
      <c r="BD99" s="285">
        <v>53.606807354300003</v>
      </c>
      <c r="BE99" s="285">
        <v>35.199716458799998</v>
      </c>
      <c r="BF99" s="285">
        <v>42.4702853844</v>
      </c>
      <c r="BG99" s="285">
        <v>27.126750101799999</v>
      </c>
      <c r="BH99" s="285">
        <v>24.203799733699999</v>
      </c>
      <c r="BI99" s="285">
        <v>8.3001438052000012</v>
      </c>
      <c r="BJ99" s="286">
        <v>0</v>
      </c>
    </row>
    <row r="100" spans="1:62" ht="14.4" thickBot="1">
      <c r="A100" s="1382" t="s">
        <v>319</v>
      </c>
      <c r="B100" s="250" t="s">
        <v>402</v>
      </c>
      <c r="C100" s="251">
        <v>33</v>
      </c>
      <c r="D100" s="251">
        <v>26</v>
      </c>
      <c r="E100" s="251">
        <v>28</v>
      </c>
      <c r="F100" s="251">
        <v>18</v>
      </c>
      <c r="G100" s="251">
        <v>9</v>
      </c>
      <c r="H100" s="251">
        <v>18</v>
      </c>
      <c r="I100" s="251">
        <v>28</v>
      </c>
      <c r="J100" s="251">
        <v>25</v>
      </c>
      <c r="K100" s="251">
        <v>21</v>
      </c>
      <c r="L100" s="251">
        <v>22</v>
      </c>
      <c r="M100" s="251">
        <v>12</v>
      </c>
      <c r="N100" s="251">
        <v>14</v>
      </c>
      <c r="O100" s="251">
        <v>17</v>
      </c>
      <c r="P100" s="251">
        <v>6</v>
      </c>
      <c r="Q100" s="251">
        <v>10</v>
      </c>
      <c r="R100" s="251">
        <v>11</v>
      </c>
      <c r="S100" s="251">
        <v>6</v>
      </c>
      <c r="T100" s="251">
        <v>0</v>
      </c>
      <c r="U100" s="251">
        <v>1</v>
      </c>
      <c r="V100" s="259">
        <v>0</v>
      </c>
      <c r="W100" s="266">
        <v>17.835866000000003</v>
      </c>
      <c r="X100" s="251">
        <v>29.726443</v>
      </c>
      <c r="Y100" s="251">
        <v>23.781154999999998</v>
      </c>
      <c r="Z100" s="251">
        <v>23.781153999999997</v>
      </c>
      <c r="AA100" s="251">
        <v>12.881458</v>
      </c>
      <c r="AB100" s="251">
        <v>19.817627999999999</v>
      </c>
      <c r="AC100" s="251">
        <v>24.772035999999996</v>
      </c>
      <c r="AD100" s="251">
        <v>28.735562999999996</v>
      </c>
      <c r="AE100" s="251">
        <v>21.799392000000001</v>
      </c>
      <c r="AF100" s="251">
        <v>27.744680999999996</v>
      </c>
      <c r="AG100" s="251">
        <v>17.835865999999999</v>
      </c>
      <c r="AH100" s="251">
        <v>20.808509999999998</v>
      </c>
      <c r="AI100" s="251">
        <v>18.826747000000001</v>
      </c>
      <c r="AJ100" s="251">
        <v>14.863220999999999</v>
      </c>
      <c r="AK100" s="251">
        <v>7.9270499999999995</v>
      </c>
      <c r="AL100" s="251">
        <v>4.9544059999999996</v>
      </c>
      <c r="AM100" s="251">
        <v>6.9361689999999996</v>
      </c>
      <c r="AN100" s="251">
        <v>2.9726439999999998</v>
      </c>
      <c r="AO100" s="251">
        <v>0.99088100000000001</v>
      </c>
      <c r="AP100" s="267">
        <v>0</v>
      </c>
      <c r="AQ100" s="266">
        <v>24.437942426899998</v>
      </c>
      <c r="AR100" s="251">
        <v>24.4730092595</v>
      </c>
      <c r="AS100" s="251">
        <v>32.615851271899999</v>
      </c>
      <c r="AT100" s="251">
        <v>17.281546019</v>
      </c>
      <c r="AU100" s="251">
        <v>17.462494106400001</v>
      </c>
      <c r="AV100" s="251">
        <v>19.757175757100001</v>
      </c>
      <c r="AW100" s="251">
        <v>28.931939567200001</v>
      </c>
      <c r="AX100" s="251">
        <v>25.519500644700003</v>
      </c>
      <c r="AY100" s="251">
        <v>29.794950163799999</v>
      </c>
      <c r="AZ100" s="251">
        <v>23.6710075244</v>
      </c>
      <c r="BA100" s="251">
        <v>30.025122011600001</v>
      </c>
      <c r="BB100" s="251">
        <v>22.953607947200002</v>
      </c>
      <c r="BC100" s="251">
        <v>21.010181167999999</v>
      </c>
      <c r="BD100" s="251">
        <v>16.7316121721</v>
      </c>
      <c r="BE100" s="251">
        <v>16.706914879500001</v>
      </c>
      <c r="BF100" s="251">
        <v>5.2370734274999995</v>
      </c>
      <c r="BG100" s="251">
        <v>6.3067156765000005</v>
      </c>
      <c r="BH100" s="251">
        <v>7.3269633398999998</v>
      </c>
      <c r="BI100" s="251">
        <v>2.1022385587999999</v>
      </c>
      <c r="BJ100" s="267">
        <v>0</v>
      </c>
    </row>
    <row r="101" spans="1:62">
      <c r="A101" s="1383"/>
      <c r="B101" s="252" t="s">
        <v>403</v>
      </c>
      <c r="C101" s="253">
        <v>25</v>
      </c>
      <c r="D101" s="253">
        <v>17</v>
      </c>
      <c r="E101" s="253">
        <v>29</v>
      </c>
      <c r="F101" s="253">
        <v>17</v>
      </c>
      <c r="G101" s="253">
        <v>17</v>
      </c>
      <c r="H101" s="253">
        <v>20</v>
      </c>
      <c r="I101" s="253">
        <v>26</v>
      </c>
      <c r="J101" s="253">
        <v>27</v>
      </c>
      <c r="K101" s="253">
        <v>17</v>
      </c>
      <c r="L101" s="253">
        <v>14</v>
      </c>
      <c r="M101" s="253">
        <v>16</v>
      </c>
      <c r="N101" s="253">
        <v>11</v>
      </c>
      <c r="O101" s="253">
        <v>16</v>
      </c>
      <c r="P101" s="253">
        <v>12</v>
      </c>
      <c r="Q101" s="253">
        <v>17</v>
      </c>
      <c r="R101" s="253">
        <v>8</v>
      </c>
      <c r="S101" s="253">
        <v>9</v>
      </c>
      <c r="T101" s="253">
        <v>5</v>
      </c>
      <c r="U101" s="253">
        <v>3</v>
      </c>
      <c r="V101" s="260">
        <v>0</v>
      </c>
      <c r="W101" s="268">
        <v>18.826747999999998</v>
      </c>
      <c r="X101" s="253">
        <v>22.790272999999999</v>
      </c>
      <c r="Y101" s="253">
        <v>24.772036000000003</v>
      </c>
      <c r="Z101" s="253">
        <v>22.790272999999999</v>
      </c>
      <c r="AA101" s="253">
        <v>12.881457999999999</v>
      </c>
      <c r="AB101" s="253">
        <v>8.9179329999999997</v>
      </c>
      <c r="AC101" s="253">
        <v>27.744681000000003</v>
      </c>
      <c r="AD101" s="253">
        <v>30.717323999999998</v>
      </c>
      <c r="AE101" s="253">
        <v>22.790272999999999</v>
      </c>
      <c r="AF101" s="253">
        <v>23.781154000000001</v>
      </c>
      <c r="AG101" s="253">
        <v>8.9179320000000004</v>
      </c>
      <c r="AH101" s="253">
        <v>22.790272999999999</v>
      </c>
      <c r="AI101" s="253">
        <v>19.817629000000004</v>
      </c>
      <c r="AJ101" s="253">
        <v>13.872339999999999</v>
      </c>
      <c r="AK101" s="253">
        <v>14.863220999999999</v>
      </c>
      <c r="AL101" s="253">
        <v>12.881459</v>
      </c>
      <c r="AM101" s="253">
        <v>9.9088139999999996</v>
      </c>
      <c r="AN101" s="253">
        <v>2.9726439999999998</v>
      </c>
      <c r="AO101" s="253">
        <v>2.9726439999999998</v>
      </c>
      <c r="AP101" s="269">
        <v>0</v>
      </c>
      <c r="AQ101" s="268">
        <v>25.494806720900002</v>
      </c>
      <c r="AR101" s="253">
        <v>22.312715465900002</v>
      </c>
      <c r="AS101" s="253">
        <v>26.528254988499999</v>
      </c>
      <c r="AT101" s="253">
        <v>23.573098614500001</v>
      </c>
      <c r="AU101" s="253">
        <v>16.490490590499999</v>
      </c>
      <c r="AV101" s="253">
        <v>17.545380811800001</v>
      </c>
      <c r="AW101" s="253">
        <v>23.658241165299998</v>
      </c>
      <c r="AX101" s="253">
        <v>31.727874870400001</v>
      </c>
      <c r="AY101" s="253">
        <v>31.824668227499998</v>
      </c>
      <c r="AZ101" s="253">
        <v>26.841882120099999</v>
      </c>
      <c r="BA101" s="253">
        <v>26.999415885299999</v>
      </c>
      <c r="BB101" s="253">
        <v>11.4949697376</v>
      </c>
      <c r="BC101" s="253">
        <v>20.899187576500001</v>
      </c>
      <c r="BD101" s="253">
        <v>19.878651461399997</v>
      </c>
      <c r="BE101" s="253">
        <v>11.5437891041</v>
      </c>
      <c r="BF101" s="253">
        <v>14.703465491400001</v>
      </c>
      <c r="BG101" s="253">
        <v>11.580835043099999</v>
      </c>
      <c r="BH101" s="253">
        <v>7.3518048585999995</v>
      </c>
      <c r="BI101" s="253">
        <v>2.1145872051999999</v>
      </c>
      <c r="BJ101" s="269">
        <v>2.0900341383000001</v>
      </c>
    </row>
    <row r="102" spans="1:62">
      <c r="A102" s="1377" t="s">
        <v>28</v>
      </c>
      <c r="B102" s="250" t="s">
        <v>141</v>
      </c>
      <c r="C102" s="254">
        <v>86</v>
      </c>
      <c r="D102" s="254">
        <v>72</v>
      </c>
      <c r="E102" s="254">
        <v>69</v>
      </c>
      <c r="F102" s="254">
        <v>56</v>
      </c>
      <c r="G102" s="254">
        <v>50</v>
      </c>
      <c r="H102" s="254">
        <v>67</v>
      </c>
      <c r="I102" s="254">
        <v>87</v>
      </c>
      <c r="J102" s="254">
        <v>89</v>
      </c>
      <c r="K102" s="254">
        <v>71</v>
      </c>
      <c r="L102" s="254">
        <v>61</v>
      </c>
      <c r="M102" s="254">
        <v>62</v>
      </c>
      <c r="N102" s="254">
        <v>44</v>
      </c>
      <c r="O102" s="254">
        <v>53</v>
      </c>
      <c r="P102" s="254">
        <v>41</v>
      </c>
      <c r="Q102" s="254">
        <v>38</v>
      </c>
      <c r="R102" s="254">
        <v>20</v>
      </c>
      <c r="S102" s="254">
        <v>6</v>
      </c>
      <c r="T102" s="254">
        <v>13</v>
      </c>
      <c r="U102" s="254">
        <v>1</v>
      </c>
      <c r="V102" s="261">
        <v>0</v>
      </c>
      <c r="W102" s="270">
        <v>83.063648999999998</v>
      </c>
      <c r="X102" s="254">
        <v>78.463698000000008</v>
      </c>
      <c r="Y102" s="254">
        <v>70.930756000000002</v>
      </c>
      <c r="Z102" s="254">
        <v>123.72673599999999</v>
      </c>
      <c r="AA102" s="254">
        <v>48.073431999999997</v>
      </c>
      <c r="AB102" s="254">
        <v>44.798373000000005</v>
      </c>
      <c r="AC102" s="254">
        <v>75.796893999999995</v>
      </c>
      <c r="AD102" s="254">
        <v>77.596946000000003</v>
      </c>
      <c r="AE102" s="254">
        <v>91.463343999999992</v>
      </c>
      <c r="AF102" s="254">
        <v>93.329943</v>
      </c>
      <c r="AG102" s="254">
        <v>79.330451999999994</v>
      </c>
      <c r="AH102" s="254">
        <v>63.530907999999997</v>
      </c>
      <c r="AI102" s="254">
        <v>65.330960000000005</v>
      </c>
      <c r="AJ102" s="254">
        <v>42.931773999999997</v>
      </c>
      <c r="AK102" s="254">
        <v>30.798881000000002</v>
      </c>
      <c r="AL102" s="254">
        <v>29.865582999999997</v>
      </c>
      <c r="AM102" s="254">
        <v>30.798880999999998</v>
      </c>
      <c r="AN102" s="254">
        <v>10.266292999999999</v>
      </c>
      <c r="AO102" s="254">
        <v>2.7998970000000001</v>
      </c>
      <c r="AP102" s="271">
        <v>0</v>
      </c>
      <c r="AQ102" s="281">
        <v>93.709896749999999</v>
      </c>
      <c r="AR102" s="282">
        <v>101.389375536</v>
      </c>
      <c r="AS102" s="282">
        <v>85.244296166999987</v>
      </c>
      <c r="AT102" s="282">
        <v>107.231086197</v>
      </c>
      <c r="AU102" s="282">
        <v>47.266382831400001</v>
      </c>
      <c r="AV102" s="282">
        <v>61.526699886499998</v>
      </c>
      <c r="AW102" s="282">
        <v>87.13742539399999</v>
      </c>
      <c r="AX102" s="282">
        <v>94.816904180999998</v>
      </c>
      <c r="AY102" s="282">
        <v>87.083944455000008</v>
      </c>
      <c r="AZ102" s="282">
        <v>95.656506915999998</v>
      </c>
      <c r="BA102" s="282">
        <v>89.977119234</v>
      </c>
      <c r="BB102" s="282">
        <v>75.725169090999998</v>
      </c>
      <c r="BC102" s="282">
        <v>60.633616211100005</v>
      </c>
      <c r="BD102" s="282">
        <v>61.526699888000003</v>
      </c>
      <c r="BE102" s="282">
        <v>46.381666068000001</v>
      </c>
      <c r="BF102" s="282">
        <v>29.343503022700002</v>
      </c>
      <c r="BG102" s="282">
        <v>25.557244568100003</v>
      </c>
      <c r="BH102" s="282">
        <v>22.717550727300001</v>
      </c>
      <c r="BI102" s="282">
        <v>1.8931292272</v>
      </c>
      <c r="BJ102" s="283">
        <v>0.94656461359999999</v>
      </c>
    </row>
    <row r="103" spans="1:62">
      <c r="A103" s="1378"/>
      <c r="B103" s="252" t="s">
        <v>142</v>
      </c>
      <c r="C103" s="255">
        <v>62</v>
      </c>
      <c r="D103" s="255">
        <v>70</v>
      </c>
      <c r="E103" s="255">
        <v>71</v>
      </c>
      <c r="F103" s="255">
        <v>55</v>
      </c>
      <c r="G103" s="255">
        <v>45</v>
      </c>
      <c r="H103" s="255">
        <v>60</v>
      </c>
      <c r="I103" s="255">
        <v>86</v>
      </c>
      <c r="J103" s="255">
        <v>75</v>
      </c>
      <c r="K103" s="255">
        <v>70</v>
      </c>
      <c r="L103" s="255">
        <v>58</v>
      </c>
      <c r="M103" s="255">
        <v>61</v>
      </c>
      <c r="N103" s="255">
        <v>46</v>
      </c>
      <c r="O103" s="255">
        <v>39</v>
      </c>
      <c r="P103" s="255">
        <v>49</v>
      </c>
      <c r="Q103" s="255">
        <v>36</v>
      </c>
      <c r="R103" s="255">
        <v>17</v>
      </c>
      <c r="S103" s="255">
        <v>10</v>
      </c>
      <c r="T103" s="255">
        <v>8</v>
      </c>
      <c r="U103" s="255">
        <v>7</v>
      </c>
      <c r="V103" s="262">
        <v>0</v>
      </c>
      <c r="W103" s="272">
        <v>70.997304</v>
      </c>
      <c r="X103" s="255">
        <v>79.330451999999994</v>
      </c>
      <c r="Y103" s="255">
        <v>72.863901999999996</v>
      </c>
      <c r="Z103" s="255">
        <v>45.750608</v>
      </c>
      <c r="AA103" s="255">
        <v>45.855023000000003</v>
      </c>
      <c r="AB103" s="255">
        <v>54.331006000000002</v>
      </c>
      <c r="AC103" s="255">
        <v>69.197250999999994</v>
      </c>
      <c r="AD103" s="255">
        <v>79.396997999999996</v>
      </c>
      <c r="AE103" s="255">
        <v>100.79633700000001</v>
      </c>
      <c r="AF103" s="255">
        <v>80.263751999999997</v>
      </c>
      <c r="AG103" s="255">
        <v>63.530906999999999</v>
      </c>
      <c r="AH103" s="255">
        <v>59.797709999999995</v>
      </c>
      <c r="AI103" s="255">
        <v>68.130858000000003</v>
      </c>
      <c r="AJ103" s="255">
        <v>45.731672000000003</v>
      </c>
      <c r="AK103" s="255">
        <v>34.532078999999996</v>
      </c>
      <c r="AL103" s="255">
        <v>36.398676999999999</v>
      </c>
      <c r="AM103" s="255">
        <v>36.398678000000004</v>
      </c>
      <c r="AN103" s="255">
        <v>12.132892000000002</v>
      </c>
      <c r="AO103" s="255">
        <v>4.6664969999999997</v>
      </c>
      <c r="AP103" s="273">
        <v>0</v>
      </c>
      <c r="AQ103" s="284">
        <v>89.923638295000003</v>
      </c>
      <c r="AR103" s="285">
        <v>88.977073683</v>
      </c>
      <c r="AS103" s="285">
        <v>76.72521464399999</v>
      </c>
      <c r="AT103" s="285">
        <v>78.977113686999999</v>
      </c>
      <c r="AU103" s="285">
        <v>32.418504266500001</v>
      </c>
      <c r="AV103" s="285">
        <v>69.099216794100002</v>
      </c>
      <c r="AW103" s="285">
        <v>84.297731552999991</v>
      </c>
      <c r="AX103" s="285">
        <v>97.54963614399999</v>
      </c>
      <c r="AY103" s="285">
        <v>87.083944454400012</v>
      </c>
      <c r="AZ103" s="285">
        <v>97.496155204999994</v>
      </c>
      <c r="BA103" s="285">
        <v>84.244250613000006</v>
      </c>
      <c r="BB103" s="285">
        <v>67.259568507300003</v>
      </c>
      <c r="BC103" s="285">
        <v>65.366439279999994</v>
      </c>
      <c r="BD103" s="285">
        <v>60.580135272900002</v>
      </c>
      <c r="BE103" s="285">
        <v>51.114489136300008</v>
      </c>
      <c r="BF103" s="285">
        <v>36.916019932300003</v>
      </c>
      <c r="BG103" s="285">
        <v>34.076326090899997</v>
      </c>
      <c r="BH103" s="285">
        <v>25.557244568200005</v>
      </c>
      <c r="BI103" s="285">
        <v>5.6793876817999998</v>
      </c>
      <c r="BJ103" s="286">
        <v>1.8931292273</v>
      </c>
    </row>
    <row r="104" spans="1:62" ht="14.4" thickBot="1">
      <c r="A104" s="1382" t="s">
        <v>320</v>
      </c>
      <c r="B104" s="250" t="s">
        <v>404</v>
      </c>
      <c r="C104" s="251">
        <v>37</v>
      </c>
      <c r="D104" s="251">
        <v>39</v>
      </c>
      <c r="E104" s="251">
        <v>39</v>
      </c>
      <c r="F104" s="251">
        <v>44</v>
      </c>
      <c r="G104" s="251">
        <v>21</v>
      </c>
      <c r="H104" s="251">
        <v>49</v>
      </c>
      <c r="I104" s="251">
        <v>51</v>
      </c>
      <c r="J104" s="251">
        <v>47</v>
      </c>
      <c r="K104" s="251">
        <v>46</v>
      </c>
      <c r="L104" s="251">
        <v>36</v>
      </c>
      <c r="M104" s="251">
        <v>40</v>
      </c>
      <c r="N104" s="251">
        <v>30</v>
      </c>
      <c r="O104" s="251">
        <v>21</v>
      </c>
      <c r="P104" s="251">
        <v>29</v>
      </c>
      <c r="Q104" s="251">
        <v>16</v>
      </c>
      <c r="R104" s="251">
        <v>15</v>
      </c>
      <c r="S104" s="251">
        <v>1</v>
      </c>
      <c r="T104" s="251">
        <v>3</v>
      </c>
      <c r="U104" s="251">
        <v>1</v>
      </c>
      <c r="V104" s="259">
        <v>0</v>
      </c>
      <c r="W104" s="266">
        <v>70.560076000000009</v>
      </c>
      <c r="X104" s="251">
        <v>75.987775999999997</v>
      </c>
      <c r="Y104" s="251">
        <v>60.790220000000005</v>
      </c>
      <c r="Z104" s="251">
        <v>44.507125000000002</v>
      </c>
      <c r="AA104" s="251">
        <v>35.822806999999997</v>
      </c>
      <c r="AB104" s="251">
        <v>39.079425999999998</v>
      </c>
      <c r="AC104" s="251">
        <v>73.816694999999996</v>
      </c>
      <c r="AD104" s="251">
        <v>95.527487999999991</v>
      </c>
      <c r="AE104" s="251">
        <v>65.132378000000003</v>
      </c>
      <c r="AF104" s="251">
        <v>56.448059999999998</v>
      </c>
      <c r="AG104" s="251">
        <v>45.592664999999997</v>
      </c>
      <c r="AH104" s="251">
        <v>45.592663999999999</v>
      </c>
      <c r="AI104" s="251">
        <v>36.908346999999999</v>
      </c>
      <c r="AJ104" s="251">
        <v>22.796332</v>
      </c>
      <c r="AK104" s="251">
        <v>18.454172999999997</v>
      </c>
      <c r="AL104" s="251">
        <v>14.112015000000001</v>
      </c>
      <c r="AM104" s="251">
        <v>10.855397</v>
      </c>
      <c r="AN104" s="251">
        <v>5.4276980000000004</v>
      </c>
      <c r="AO104" s="251">
        <v>1.0855399999999999</v>
      </c>
      <c r="AP104" s="267">
        <v>0</v>
      </c>
      <c r="AQ104" s="266">
        <v>53.3815946737</v>
      </c>
      <c r="AR104" s="251">
        <v>81.465945297000005</v>
      </c>
      <c r="AS104" s="251">
        <v>62.406380762600001</v>
      </c>
      <c r="AT104" s="251">
        <v>51.207997130599999</v>
      </c>
      <c r="AU104" s="251">
        <v>22.366577045300001</v>
      </c>
      <c r="AV104" s="251">
        <v>38.729219817300006</v>
      </c>
      <c r="AW104" s="251">
        <v>63.991043913799999</v>
      </c>
      <c r="AX104" s="251">
        <v>77.079395675800001</v>
      </c>
      <c r="AY104" s="251">
        <v>85.002570890999991</v>
      </c>
      <c r="AZ104" s="251">
        <v>59.806459442000005</v>
      </c>
      <c r="BA104" s="251">
        <v>53.369334809800009</v>
      </c>
      <c r="BB104" s="251">
        <v>47.2943813021</v>
      </c>
      <c r="BC104" s="251">
        <v>41.258418636900004</v>
      </c>
      <c r="BD104" s="251">
        <v>33.989714996000004</v>
      </c>
      <c r="BE104" s="251">
        <v>17.546504936799998</v>
      </c>
      <c r="BF104" s="251">
        <v>16.5275142606</v>
      </c>
      <c r="BG104" s="251">
        <v>12.4019611106</v>
      </c>
      <c r="BH104" s="251">
        <v>7.2445494093000002</v>
      </c>
      <c r="BI104" s="251">
        <v>2.0628489231999998</v>
      </c>
      <c r="BJ104" s="267">
        <v>0</v>
      </c>
    </row>
    <row r="105" spans="1:62">
      <c r="A105" s="1383"/>
      <c r="B105" s="252" t="s">
        <v>405</v>
      </c>
      <c r="C105" s="253">
        <v>35</v>
      </c>
      <c r="D105" s="253">
        <v>46</v>
      </c>
      <c r="E105" s="253">
        <v>34</v>
      </c>
      <c r="F105" s="253">
        <v>42</v>
      </c>
      <c r="G105" s="253">
        <v>28</v>
      </c>
      <c r="H105" s="253">
        <v>46</v>
      </c>
      <c r="I105" s="253">
        <v>40</v>
      </c>
      <c r="J105" s="253">
        <v>44</v>
      </c>
      <c r="K105" s="253">
        <v>43</v>
      </c>
      <c r="L105" s="253">
        <v>40</v>
      </c>
      <c r="M105" s="253">
        <v>38</v>
      </c>
      <c r="N105" s="253">
        <v>21</v>
      </c>
      <c r="O105" s="253">
        <v>24</v>
      </c>
      <c r="P105" s="253">
        <v>29</v>
      </c>
      <c r="Q105" s="253">
        <v>14</v>
      </c>
      <c r="R105" s="253">
        <v>17</v>
      </c>
      <c r="S105" s="253">
        <v>7</v>
      </c>
      <c r="T105" s="253">
        <v>6</v>
      </c>
      <c r="U105" s="253">
        <v>5</v>
      </c>
      <c r="V105" s="260">
        <v>1</v>
      </c>
      <c r="W105" s="268">
        <v>70.560076000000009</v>
      </c>
      <c r="X105" s="253">
        <v>62.961298999999997</v>
      </c>
      <c r="Y105" s="253">
        <v>57.533601000000004</v>
      </c>
      <c r="Z105" s="253">
        <v>45.592665000000004</v>
      </c>
      <c r="AA105" s="253">
        <v>26.052951</v>
      </c>
      <c r="AB105" s="253">
        <v>52.105903000000005</v>
      </c>
      <c r="AC105" s="253">
        <v>75.987774999999999</v>
      </c>
      <c r="AD105" s="253">
        <v>80.329932999999997</v>
      </c>
      <c r="AE105" s="253">
        <v>61.875759000000002</v>
      </c>
      <c r="AF105" s="253">
        <v>57.533601000000004</v>
      </c>
      <c r="AG105" s="253">
        <v>35.822808000000002</v>
      </c>
      <c r="AH105" s="253">
        <v>47.763744000000003</v>
      </c>
      <c r="AI105" s="253">
        <v>19.539712999999999</v>
      </c>
      <c r="AJ105" s="253">
        <v>21.710792000000001</v>
      </c>
      <c r="AK105" s="253">
        <v>23.881872999999999</v>
      </c>
      <c r="AL105" s="253">
        <v>19.539715000000001</v>
      </c>
      <c r="AM105" s="253">
        <v>9.769857</v>
      </c>
      <c r="AN105" s="253">
        <v>10.769894999999998</v>
      </c>
      <c r="AO105" s="253">
        <v>1.0855399999999999</v>
      </c>
      <c r="AP105" s="269">
        <v>3.0856149999999998</v>
      </c>
      <c r="AQ105" s="268">
        <v>79.525001236999998</v>
      </c>
      <c r="AR105" s="253">
        <v>66.471637622000003</v>
      </c>
      <c r="AS105" s="253">
        <v>69.314726083899998</v>
      </c>
      <c r="AT105" s="253">
        <v>47.274461381499997</v>
      </c>
      <c r="AU105" s="253">
        <v>30.394228112299999</v>
      </c>
      <c r="AV105" s="253">
        <v>27.490422660400004</v>
      </c>
      <c r="AW105" s="253">
        <v>77.072664209999999</v>
      </c>
      <c r="AX105" s="253">
        <v>72.767503912799995</v>
      </c>
      <c r="AY105" s="253">
        <v>74.772892830000004</v>
      </c>
      <c r="AZ105" s="253">
        <v>62.997174644999994</v>
      </c>
      <c r="BA105" s="253">
        <v>48.241223996099997</v>
      </c>
      <c r="BB105" s="253">
        <v>37.0957139179</v>
      </c>
      <c r="BC105" s="253">
        <v>48.514251053599999</v>
      </c>
      <c r="BD105" s="253">
        <v>20.568763209599997</v>
      </c>
      <c r="BE105" s="253">
        <v>22.7283501189</v>
      </c>
      <c r="BF105" s="253">
        <v>22.6929128807</v>
      </c>
      <c r="BG105" s="253">
        <v>16.6013934904</v>
      </c>
      <c r="BH105" s="253">
        <v>7.2691275869999998</v>
      </c>
      <c r="BI105" s="253">
        <v>2.0751380122</v>
      </c>
      <c r="BJ105" s="269">
        <v>0</v>
      </c>
    </row>
    <row r="106" spans="1:62">
      <c r="A106" s="1377" t="s">
        <v>29</v>
      </c>
      <c r="B106" s="250" t="s">
        <v>143</v>
      </c>
      <c r="C106" s="254">
        <v>46</v>
      </c>
      <c r="D106" s="254">
        <v>49</v>
      </c>
      <c r="E106" s="254">
        <v>78</v>
      </c>
      <c r="F106" s="254">
        <v>57</v>
      </c>
      <c r="G106" s="254">
        <v>48</v>
      </c>
      <c r="H106" s="254">
        <v>54</v>
      </c>
      <c r="I106" s="254">
        <v>67</v>
      </c>
      <c r="J106" s="254">
        <v>49</v>
      </c>
      <c r="K106" s="254">
        <v>75</v>
      </c>
      <c r="L106" s="254">
        <v>74</v>
      </c>
      <c r="M106" s="254">
        <v>68</v>
      </c>
      <c r="N106" s="254">
        <v>33</v>
      </c>
      <c r="O106" s="254">
        <v>58</v>
      </c>
      <c r="P106" s="254">
        <v>39</v>
      </c>
      <c r="Q106" s="254">
        <v>34</v>
      </c>
      <c r="R106" s="254">
        <v>16</v>
      </c>
      <c r="S106" s="254">
        <v>7</v>
      </c>
      <c r="T106" s="254">
        <v>4</v>
      </c>
      <c r="U106" s="254">
        <v>4</v>
      </c>
      <c r="V106" s="261">
        <v>2</v>
      </c>
      <c r="W106" s="270">
        <v>71.46670300000001</v>
      </c>
      <c r="X106" s="254">
        <v>93.303752000000003</v>
      </c>
      <c r="Y106" s="254">
        <v>86.355600999999993</v>
      </c>
      <c r="Z106" s="254">
        <v>53.600026999999997</v>
      </c>
      <c r="AA106" s="254">
        <v>34.756686000000002</v>
      </c>
      <c r="AB106" s="254">
        <v>54.592619999999997</v>
      </c>
      <c r="AC106" s="254">
        <v>35.733353000000001</v>
      </c>
      <c r="AD106" s="254">
        <v>93.383383999999992</v>
      </c>
      <c r="AE106" s="254">
        <v>99.370793999999989</v>
      </c>
      <c r="AF106" s="254">
        <v>79.423375000000007</v>
      </c>
      <c r="AG106" s="254">
        <v>72.45929799999999</v>
      </c>
      <c r="AH106" s="254">
        <v>81.392634999999999</v>
      </c>
      <c r="AI106" s="254">
        <v>67.512257000000005</v>
      </c>
      <c r="AJ106" s="254">
        <v>38.727058</v>
      </c>
      <c r="AK106" s="254">
        <v>40.712243999999998</v>
      </c>
      <c r="AL106" s="254">
        <v>27.792607000000004</v>
      </c>
      <c r="AM106" s="254">
        <v>24.814827999999999</v>
      </c>
      <c r="AN106" s="254">
        <v>8.9333369999999999</v>
      </c>
      <c r="AO106" s="254">
        <v>0.99259299999999995</v>
      </c>
      <c r="AP106" s="271">
        <v>0.99259299999999995</v>
      </c>
      <c r="AQ106" s="281">
        <v>82.236845477999992</v>
      </c>
      <c r="AR106" s="282">
        <v>93.837336606999997</v>
      </c>
      <c r="AS106" s="282">
        <v>99.570882202999996</v>
      </c>
      <c r="AT106" s="282">
        <v>68.636239188600001</v>
      </c>
      <c r="AU106" s="282">
        <v>36.768238564600004</v>
      </c>
      <c r="AV106" s="282">
        <v>62.9026935933</v>
      </c>
      <c r="AW106" s="282">
        <v>72.536419551000009</v>
      </c>
      <c r="AX106" s="282">
        <v>70.636354346999994</v>
      </c>
      <c r="AY106" s="282">
        <v>93.904036579000007</v>
      </c>
      <c r="AZ106" s="282">
        <v>99.770982111999999</v>
      </c>
      <c r="BA106" s="282">
        <v>73.503127144000004</v>
      </c>
      <c r="BB106" s="282">
        <v>62.8359936222</v>
      </c>
      <c r="BC106" s="282">
        <v>74.436484753999991</v>
      </c>
      <c r="BD106" s="282">
        <v>70.603004362500002</v>
      </c>
      <c r="BE106" s="282">
        <v>33.868115782099999</v>
      </c>
      <c r="BF106" s="282">
        <v>34.801473391000002</v>
      </c>
      <c r="BG106" s="282">
        <v>17.400736695599999</v>
      </c>
      <c r="BH106" s="282">
        <v>17.400736695599999</v>
      </c>
      <c r="BI106" s="282">
        <v>4.8335379710000002</v>
      </c>
      <c r="BJ106" s="283">
        <v>0</v>
      </c>
    </row>
    <row r="107" spans="1:62">
      <c r="A107" s="1378"/>
      <c r="B107" s="252" t="s">
        <v>144</v>
      </c>
      <c r="C107" s="255">
        <v>45</v>
      </c>
      <c r="D107" s="255">
        <v>58</v>
      </c>
      <c r="E107" s="255">
        <v>55</v>
      </c>
      <c r="F107" s="255">
        <v>58</v>
      </c>
      <c r="G107" s="255">
        <v>40</v>
      </c>
      <c r="H107" s="255">
        <v>67</v>
      </c>
      <c r="I107" s="255">
        <v>53</v>
      </c>
      <c r="J107" s="255">
        <v>65</v>
      </c>
      <c r="K107" s="255">
        <v>61</v>
      </c>
      <c r="L107" s="255">
        <v>81</v>
      </c>
      <c r="M107" s="255">
        <v>61</v>
      </c>
      <c r="N107" s="255">
        <v>52</v>
      </c>
      <c r="O107" s="255">
        <v>36</v>
      </c>
      <c r="P107" s="255">
        <v>38</v>
      </c>
      <c r="Q107" s="255">
        <v>28</v>
      </c>
      <c r="R107" s="255">
        <v>21</v>
      </c>
      <c r="S107" s="255">
        <v>20</v>
      </c>
      <c r="T107" s="255">
        <v>20</v>
      </c>
      <c r="U107" s="255">
        <v>6</v>
      </c>
      <c r="V107" s="262">
        <v>1</v>
      </c>
      <c r="W107" s="272">
        <v>54.592620999999994</v>
      </c>
      <c r="X107" s="255">
        <v>60.548178999999998</v>
      </c>
      <c r="Y107" s="255">
        <v>74.444485</v>
      </c>
      <c r="Z107" s="255">
        <v>57.570401000000004</v>
      </c>
      <c r="AA107" s="255">
        <v>27.792608000000001</v>
      </c>
      <c r="AB107" s="255">
        <v>48.652987999999993</v>
      </c>
      <c r="AC107" s="255">
        <v>58.562992999999999</v>
      </c>
      <c r="AD107" s="255">
        <v>84.529678000000004</v>
      </c>
      <c r="AE107" s="255">
        <v>95.368570000000005</v>
      </c>
      <c r="AF107" s="255">
        <v>73.483744000000002</v>
      </c>
      <c r="AG107" s="255">
        <v>68.536704</v>
      </c>
      <c r="AH107" s="255">
        <v>86.371527</v>
      </c>
      <c r="AI107" s="255">
        <v>61.540772999999994</v>
      </c>
      <c r="AJ107" s="255">
        <v>52.607434999999995</v>
      </c>
      <c r="AK107" s="255">
        <v>42.681503999999997</v>
      </c>
      <c r="AL107" s="255">
        <v>30.770386999999999</v>
      </c>
      <c r="AM107" s="255">
        <v>28.785201000000001</v>
      </c>
      <c r="AN107" s="255">
        <v>11.911116</v>
      </c>
      <c r="AO107" s="255">
        <v>4.9629649999999996</v>
      </c>
      <c r="AP107" s="273">
        <v>3.9703719999999998</v>
      </c>
      <c r="AQ107" s="284">
        <v>93.837336606999997</v>
      </c>
      <c r="AR107" s="285">
        <v>82.203495492000002</v>
      </c>
      <c r="AS107" s="285">
        <v>58.002455651999995</v>
      </c>
      <c r="AT107" s="285">
        <v>60.902578434799999</v>
      </c>
      <c r="AU107" s="285">
        <v>38.701653753100004</v>
      </c>
      <c r="AV107" s="285">
        <v>75.469892318000007</v>
      </c>
      <c r="AW107" s="285">
        <v>72.536419549000001</v>
      </c>
      <c r="AX107" s="285">
        <v>73.469777157999999</v>
      </c>
      <c r="AY107" s="285">
        <v>91.204013705999984</v>
      </c>
      <c r="AZ107" s="285">
        <v>98.770924535000006</v>
      </c>
      <c r="BA107" s="285">
        <v>71.603061940000003</v>
      </c>
      <c r="BB107" s="285">
        <v>65.802816374800003</v>
      </c>
      <c r="BC107" s="285">
        <v>87.03703346399999</v>
      </c>
      <c r="BD107" s="285">
        <v>63.802701216999992</v>
      </c>
      <c r="BE107" s="285">
        <v>52.202210086400001</v>
      </c>
      <c r="BF107" s="285">
        <v>33.834765796799999</v>
      </c>
      <c r="BG107" s="285">
        <v>25.134397449200002</v>
      </c>
      <c r="BH107" s="285">
        <v>19.334151884000001</v>
      </c>
      <c r="BI107" s="285">
        <v>6.7669531593999999</v>
      </c>
      <c r="BJ107" s="286">
        <v>2.9001227826</v>
      </c>
    </row>
    <row r="108" spans="1:62" ht="14.4" thickBot="1">
      <c r="A108" s="1382" t="s">
        <v>321</v>
      </c>
      <c r="B108" s="250" t="s">
        <v>406</v>
      </c>
      <c r="C108" s="251">
        <v>28</v>
      </c>
      <c r="D108" s="251">
        <v>22</v>
      </c>
      <c r="E108" s="251">
        <v>29</v>
      </c>
      <c r="F108" s="251">
        <v>34</v>
      </c>
      <c r="G108" s="251">
        <v>14</v>
      </c>
      <c r="H108" s="251">
        <v>16</v>
      </c>
      <c r="I108" s="251">
        <v>34</v>
      </c>
      <c r="J108" s="251">
        <v>36</v>
      </c>
      <c r="K108" s="251">
        <v>28</v>
      </c>
      <c r="L108" s="251">
        <v>37</v>
      </c>
      <c r="M108" s="251">
        <v>22</v>
      </c>
      <c r="N108" s="251">
        <v>16</v>
      </c>
      <c r="O108" s="251">
        <v>20</v>
      </c>
      <c r="P108" s="251">
        <v>18</v>
      </c>
      <c r="Q108" s="251">
        <v>21</v>
      </c>
      <c r="R108" s="251">
        <v>14</v>
      </c>
      <c r="S108" s="251">
        <v>10</v>
      </c>
      <c r="T108" s="251">
        <v>2</v>
      </c>
      <c r="U108" s="251">
        <v>1</v>
      </c>
      <c r="V108" s="259">
        <v>0</v>
      </c>
      <c r="W108" s="266">
        <v>41</v>
      </c>
      <c r="X108" s="251">
        <v>59</v>
      </c>
      <c r="Y108" s="251">
        <v>38</v>
      </c>
      <c r="Z108" s="251">
        <v>29</v>
      </c>
      <c r="AA108" s="251">
        <v>28</v>
      </c>
      <c r="AB108" s="251">
        <v>35</v>
      </c>
      <c r="AC108" s="251">
        <v>36</v>
      </c>
      <c r="AD108" s="251">
        <v>54</v>
      </c>
      <c r="AE108" s="251">
        <v>55</v>
      </c>
      <c r="AF108" s="251">
        <v>37</v>
      </c>
      <c r="AG108" s="251">
        <v>33</v>
      </c>
      <c r="AH108" s="251">
        <v>30</v>
      </c>
      <c r="AI108" s="251">
        <v>34</v>
      </c>
      <c r="AJ108" s="251">
        <v>14</v>
      </c>
      <c r="AK108" s="251">
        <v>14</v>
      </c>
      <c r="AL108" s="251">
        <v>16</v>
      </c>
      <c r="AM108" s="251">
        <v>7</v>
      </c>
      <c r="AN108" s="251">
        <v>7</v>
      </c>
      <c r="AO108" s="251">
        <v>1</v>
      </c>
      <c r="AP108" s="267">
        <v>0</v>
      </c>
      <c r="AQ108" s="266">
        <v>53</v>
      </c>
      <c r="AR108" s="251">
        <v>46</v>
      </c>
      <c r="AS108" s="251">
        <v>49</v>
      </c>
      <c r="AT108" s="251">
        <v>33</v>
      </c>
      <c r="AU108" s="251">
        <v>19</v>
      </c>
      <c r="AV108" s="251">
        <v>24</v>
      </c>
      <c r="AW108" s="251">
        <v>55</v>
      </c>
      <c r="AX108" s="251">
        <v>40</v>
      </c>
      <c r="AY108" s="251">
        <v>51</v>
      </c>
      <c r="AZ108" s="251">
        <v>48</v>
      </c>
      <c r="BA108" s="251">
        <v>42</v>
      </c>
      <c r="BB108" s="251">
        <v>32</v>
      </c>
      <c r="BC108" s="251">
        <v>33</v>
      </c>
      <c r="BD108" s="251">
        <v>32</v>
      </c>
      <c r="BE108" s="251">
        <v>9</v>
      </c>
      <c r="BF108" s="251">
        <v>12</v>
      </c>
      <c r="BG108" s="251">
        <v>13</v>
      </c>
      <c r="BH108" s="251">
        <v>8</v>
      </c>
      <c r="BI108" s="251">
        <v>2</v>
      </c>
      <c r="BJ108" s="267">
        <v>0</v>
      </c>
    </row>
    <row r="109" spans="1:62">
      <c r="A109" s="1383"/>
      <c r="B109" s="252" t="s">
        <v>407</v>
      </c>
      <c r="C109" s="253">
        <v>24</v>
      </c>
      <c r="D109" s="253">
        <v>30</v>
      </c>
      <c r="E109" s="253">
        <v>26</v>
      </c>
      <c r="F109" s="253">
        <v>24</v>
      </c>
      <c r="G109" s="253">
        <v>8</v>
      </c>
      <c r="H109" s="253">
        <v>25</v>
      </c>
      <c r="I109" s="253">
        <v>33</v>
      </c>
      <c r="J109" s="253">
        <v>31</v>
      </c>
      <c r="K109" s="253">
        <v>29</v>
      </c>
      <c r="L109" s="253">
        <v>20</v>
      </c>
      <c r="M109" s="253">
        <v>25</v>
      </c>
      <c r="N109" s="253">
        <v>17</v>
      </c>
      <c r="O109" s="253">
        <v>21</v>
      </c>
      <c r="P109" s="253">
        <v>25</v>
      </c>
      <c r="Q109" s="253">
        <v>15</v>
      </c>
      <c r="R109" s="253">
        <v>11</v>
      </c>
      <c r="S109" s="253">
        <v>4</v>
      </c>
      <c r="T109" s="253">
        <v>6</v>
      </c>
      <c r="U109" s="253">
        <v>2</v>
      </c>
      <c r="V109" s="260">
        <v>1</v>
      </c>
      <c r="W109" s="268">
        <v>40</v>
      </c>
      <c r="X109" s="253">
        <v>43</v>
      </c>
      <c r="Y109" s="253">
        <v>40</v>
      </c>
      <c r="Z109" s="253">
        <v>29</v>
      </c>
      <c r="AA109" s="253">
        <v>20</v>
      </c>
      <c r="AB109" s="253">
        <v>41</v>
      </c>
      <c r="AC109" s="253">
        <v>31</v>
      </c>
      <c r="AD109" s="253">
        <v>59</v>
      </c>
      <c r="AE109" s="253">
        <v>46</v>
      </c>
      <c r="AF109" s="253">
        <v>44</v>
      </c>
      <c r="AG109" s="253">
        <v>30</v>
      </c>
      <c r="AH109" s="253">
        <v>30</v>
      </c>
      <c r="AI109" s="253">
        <v>28</v>
      </c>
      <c r="AJ109" s="253">
        <v>22</v>
      </c>
      <c r="AK109" s="253">
        <v>20</v>
      </c>
      <c r="AL109" s="253">
        <v>18</v>
      </c>
      <c r="AM109" s="253">
        <v>11</v>
      </c>
      <c r="AN109" s="253">
        <v>5</v>
      </c>
      <c r="AO109" s="253">
        <v>3</v>
      </c>
      <c r="AP109" s="269">
        <v>0</v>
      </c>
      <c r="AQ109" s="268">
        <v>44</v>
      </c>
      <c r="AR109" s="253">
        <v>41</v>
      </c>
      <c r="AS109" s="253">
        <v>44</v>
      </c>
      <c r="AT109" s="253">
        <v>33</v>
      </c>
      <c r="AU109" s="253">
        <v>20</v>
      </c>
      <c r="AV109" s="253">
        <v>31</v>
      </c>
      <c r="AW109" s="253">
        <v>44</v>
      </c>
      <c r="AX109" s="253">
        <v>43</v>
      </c>
      <c r="AY109" s="253">
        <v>51</v>
      </c>
      <c r="AZ109" s="253">
        <v>40</v>
      </c>
      <c r="BA109" s="253">
        <v>41</v>
      </c>
      <c r="BB109" s="253">
        <v>30</v>
      </c>
      <c r="BC109" s="253">
        <v>32</v>
      </c>
      <c r="BD109" s="253">
        <v>30</v>
      </c>
      <c r="BE109" s="253">
        <v>20</v>
      </c>
      <c r="BF109" s="253">
        <v>16</v>
      </c>
      <c r="BG109" s="253">
        <v>16</v>
      </c>
      <c r="BH109" s="253">
        <v>11</v>
      </c>
      <c r="BI109" s="253">
        <v>3</v>
      </c>
      <c r="BJ109" s="269">
        <v>2</v>
      </c>
    </row>
    <row r="110" spans="1:62">
      <c r="A110" s="1377" t="s">
        <v>30</v>
      </c>
      <c r="B110" s="250" t="s">
        <v>145</v>
      </c>
      <c r="C110" s="254">
        <v>172</v>
      </c>
      <c r="D110" s="254">
        <v>220</v>
      </c>
      <c r="E110" s="254">
        <v>225</v>
      </c>
      <c r="F110" s="254">
        <v>160</v>
      </c>
      <c r="G110" s="254">
        <v>125</v>
      </c>
      <c r="H110" s="254">
        <v>126</v>
      </c>
      <c r="I110" s="254">
        <v>183</v>
      </c>
      <c r="J110" s="254">
        <v>210</v>
      </c>
      <c r="K110" s="254">
        <v>237</v>
      </c>
      <c r="L110" s="254">
        <v>194</v>
      </c>
      <c r="M110" s="254">
        <v>207</v>
      </c>
      <c r="N110" s="254">
        <v>149</v>
      </c>
      <c r="O110" s="254">
        <v>157</v>
      </c>
      <c r="P110" s="254">
        <v>147</v>
      </c>
      <c r="Q110" s="254">
        <v>102</v>
      </c>
      <c r="R110" s="254">
        <v>59</v>
      </c>
      <c r="S110" s="254">
        <v>20</v>
      </c>
      <c r="T110" s="254">
        <v>22</v>
      </c>
      <c r="U110" s="254">
        <v>4</v>
      </c>
      <c r="V110" s="261">
        <v>2</v>
      </c>
      <c r="W110" s="270">
        <v>173.64614</v>
      </c>
      <c r="X110" s="254">
        <v>221.20058099999997</v>
      </c>
      <c r="Y110" s="254">
        <v>219.87084200000001</v>
      </c>
      <c r="Z110" s="254">
        <v>215.72969300000003</v>
      </c>
      <c r="AA110" s="254">
        <v>158.57064800000001</v>
      </c>
      <c r="AB110" s="254">
        <v>104.946832</v>
      </c>
      <c r="AC110" s="254">
        <v>163.539524</v>
      </c>
      <c r="AD110" s="254">
        <v>205.08563800000002</v>
      </c>
      <c r="AE110" s="254">
        <v>238.56274200000001</v>
      </c>
      <c r="AF110" s="254">
        <v>227.19097800000003</v>
      </c>
      <c r="AG110" s="254">
        <v>229.88700599999999</v>
      </c>
      <c r="AH110" s="254">
        <v>206.19005400000003</v>
      </c>
      <c r="AI110" s="254">
        <v>184.42141499999997</v>
      </c>
      <c r="AJ110" s="254">
        <v>136.64335199999999</v>
      </c>
      <c r="AK110" s="254">
        <v>127.595617</v>
      </c>
      <c r="AL110" s="254">
        <v>106.78532300000002</v>
      </c>
      <c r="AM110" s="254">
        <v>66.275990000000007</v>
      </c>
      <c r="AN110" s="254">
        <v>27.081943999999996</v>
      </c>
      <c r="AO110" s="254">
        <v>8.2395570000000014</v>
      </c>
      <c r="AP110" s="271">
        <v>4.1280869999999998</v>
      </c>
      <c r="AQ110" s="281">
        <v>147.11990710699999</v>
      </c>
      <c r="AR110" s="282">
        <v>164.96022541899998</v>
      </c>
      <c r="AS110" s="282">
        <v>214.42172000199997</v>
      </c>
      <c r="AT110" s="282">
        <v>206.80019421200001</v>
      </c>
      <c r="AU110" s="282">
        <v>141.100446936</v>
      </c>
      <c r="AV110" s="282">
        <v>127.070808462</v>
      </c>
      <c r="AW110" s="282">
        <v>138.48505108200001</v>
      </c>
      <c r="AX110" s="282">
        <v>218.29631130799999</v>
      </c>
      <c r="AY110" s="282">
        <v>199.15285556800001</v>
      </c>
      <c r="AZ110" s="282">
        <v>212.66189980800002</v>
      </c>
      <c r="BA110" s="282">
        <v>229.719717368</v>
      </c>
      <c r="BB110" s="282">
        <v>230.66783760800001</v>
      </c>
      <c r="BC110" s="282">
        <v>202.39198679399999</v>
      </c>
      <c r="BD110" s="282">
        <v>177.091983167</v>
      </c>
      <c r="BE110" s="282">
        <v>142.44118718999999</v>
      </c>
      <c r="BF110" s="282">
        <v>106.34068893700001</v>
      </c>
      <c r="BG110" s="282">
        <v>77.887131378199996</v>
      </c>
      <c r="BH110" s="282">
        <v>39.116111987499998</v>
      </c>
      <c r="BI110" s="282">
        <v>8.5903206648000001</v>
      </c>
      <c r="BJ110" s="283">
        <v>3</v>
      </c>
    </row>
    <row r="111" spans="1:62">
      <c r="A111" s="1378"/>
      <c r="B111" s="252" t="s">
        <v>146</v>
      </c>
      <c r="C111" s="255">
        <v>165</v>
      </c>
      <c r="D111" s="255">
        <v>196</v>
      </c>
      <c r="E111" s="255">
        <v>195</v>
      </c>
      <c r="F111" s="255">
        <v>168</v>
      </c>
      <c r="G111" s="255">
        <v>121</v>
      </c>
      <c r="H111" s="255">
        <v>147</v>
      </c>
      <c r="I111" s="255">
        <v>211</v>
      </c>
      <c r="J111" s="255">
        <v>215</v>
      </c>
      <c r="K111" s="255">
        <v>205</v>
      </c>
      <c r="L111" s="255">
        <v>196</v>
      </c>
      <c r="M111" s="255">
        <v>211</v>
      </c>
      <c r="N111" s="255">
        <v>170</v>
      </c>
      <c r="O111" s="255">
        <v>165</v>
      </c>
      <c r="P111" s="255">
        <v>136</v>
      </c>
      <c r="Q111" s="255">
        <v>86</v>
      </c>
      <c r="R111" s="255">
        <v>63</v>
      </c>
      <c r="S111" s="255">
        <v>41</v>
      </c>
      <c r="T111" s="255">
        <v>42</v>
      </c>
      <c r="U111" s="255">
        <v>18</v>
      </c>
      <c r="V111" s="262">
        <v>1</v>
      </c>
      <c r="W111" s="272">
        <v>184.64243999999999</v>
      </c>
      <c r="X111" s="255">
        <v>201.188468</v>
      </c>
      <c r="Y111" s="255">
        <v>188.97821600000003</v>
      </c>
      <c r="Z111" s="255">
        <v>202.821371</v>
      </c>
      <c r="AA111" s="255">
        <v>112.23146</v>
      </c>
      <c r="AB111" s="255">
        <v>106.25259</v>
      </c>
      <c r="AC111" s="255">
        <v>143.64427699999999</v>
      </c>
      <c r="AD111" s="255">
        <v>232.76846599999999</v>
      </c>
      <c r="AE111" s="255">
        <v>253.55187899999999</v>
      </c>
      <c r="AF111" s="255">
        <v>240.23133499999997</v>
      </c>
      <c r="AG111" s="255">
        <v>212.801559</v>
      </c>
      <c r="AH111" s="255">
        <v>216.203722</v>
      </c>
      <c r="AI111" s="255">
        <v>192.91819799999999</v>
      </c>
      <c r="AJ111" s="255">
        <v>165.12955199999999</v>
      </c>
      <c r="AK111" s="255">
        <v>134.054194</v>
      </c>
      <c r="AL111" s="255">
        <v>116.388262</v>
      </c>
      <c r="AM111" s="255">
        <v>74.571824000000007</v>
      </c>
      <c r="AN111" s="255">
        <v>48.466659</v>
      </c>
      <c r="AO111" s="255">
        <v>21.455648999999998</v>
      </c>
      <c r="AP111" s="273">
        <v>17.10791</v>
      </c>
      <c r="AQ111" s="284">
        <v>154.99555755699998</v>
      </c>
      <c r="AR111" s="285">
        <v>190.85706709099998</v>
      </c>
      <c r="AS111" s="285">
        <v>188.70960715000001</v>
      </c>
      <c r="AT111" s="285">
        <v>155.91920102099999</v>
      </c>
      <c r="AU111" s="285">
        <v>127.65026665299999</v>
      </c>
      <c r="AV111" s="285">
        <v>116.37447019599999</v>
      </c>
      <c r="AW111" s="285">
        <v>154.441614765</v>
      </c>
      <c r="AX111" s="285">
        <v>169.785958056</v>
      </c>
      <c r="AY111" s="285">
        <v>239.88951220600001</v>
      </c>
      <c r="AZ111" s="285">
        <v>247.631261954</v>
      </c>
      <c r="BA111" s="285">
        <v>247.77149930099998</v>
      </c>
      <c r="BB111" s="285">
        <v>216.10113351000001</v>
      </c>
      <c r="BC111" s="285">
        <v>224.18804305500001</v>
      </c>
      <c r="BD111" s="285">
        <v>197.764214514</v>
      </c>
      <c r="BE111" s="285">
        <v>147.31195539500001</v>
      </c>
      <c r="BF111" s="285">
        <v>125.50979755199999</v>
      </c>
      <c r="BG111" s="285">
        <v>103.13991836</v>
      </c>
      <c r="BH111" s="285">
        <v>60.155612950300004</v>
      </c>
      <c r="BI111" s="285">
        <v>33.188848896499998</v>
      </c>
      <c r="BJ111" s="286">
        <v>12.2980748178</v>
      </c>
    </row>
    <row r="112" spans="1:62" ht="14.4" thickBot="1">
      <c r="A112" s="1382" t="s">
        <v>322</v>
      </c>
      <c r="B112" s="250" t="s">
        <v>408</v>
      </c>
      <c r="C112" s="251">
        <v>29</v>
      </c>
      <c r="D112" s="251">
        <v>34</v>
      </c>
      <c r="E112" s="251">
        <v>33</v>
      </c>
      <c r="F112" s="251">
        <v>24</v>
      </c>
      <c r="G112" s="251">
        <v>28</v>
      </c>
      <c r="H112" s="251">
        <v>25</v>
      </c>
      <c r="I112" s="251">
        <v>27</v>
      </c>
      <c r="J112" s="251">
        <v>34</v>
      </c>
      <c r="K112" s="251">
        <v>39</v>
      </c>
      <c r="L112" s="251">
        <v>40</v>
      </c>
      <c r="M112" s="251">
        <v>34</v>
      </c>
      <c r="N112" s="251">
        <v>26</v>
      </c>
      <c r="O112" s="251">
        <v>17</v>
      </c>
      <c r="P112" s="251">
        <v>31</v>
      </c>
      <c r="Q112" s="251">
        <v>16</v>
      </c>
      <c r="R112" s="251">
        <v>10</v>
      </c>
      <c r="S112" s="251">
        <v>8</v>
      </c>
      <c r="T112" s="251">
        <v>7</v>
      </c>
      <c r="U112" s="251">
        <v>3</v>
      </c>
      <c r="V112" s="259">
        <v>0</v>
      </c>
      <c r="W112" s="266">
        <v>37</v>
      </c>
      <c r="X112" s="251">
        <v>28</v>
      </c>
      <c r="Y112" s="251">
        <v>29</v>
      </c>
      <c r="Z112" s="251">
        <v>35</v>
      </c>
      <c r="AA112" s="251">
        <v>26</v>
      </c>
      <c r="AB112" s="251">
        <v>25</v>
      </c>
      <c r="AC112" s="251">
        <v>32</v>
      </c>
      <c r="AD112" s="251">
        <v>34</v>
      </c>
      <c r="AE112" s="251">
        <v>39</v>
      </c>
      <c r="AF112" s="251">
        <v>41</v>
      </c>
      <c r="AG112" s="251">
        <v>38</v>
      </c>
      <c r="AH112" s="251">
        <v>26</v>
      </c>
      <c r="AI112" s="251">
        <v>40</v>
      </c>
      <c r="AJ112" s="251">
        <v>23</v>
      </c>
      <c r="AK112" s="251">
        <v>22</v>
      </c>
      <c r="AL112" s="251">
        <v>19</v>
      </c>
      <c r="AM112" s="251">
        <v>10</v>
      </c>
      <c r="AN112" s="251">
        <v>3</v>
      </c>
      <c r="AO112" s="251">
        <v>0</v>
      </c>
      <c r="AP112" s="267">
        <v>1</v>
      </c>
      <c r="AQ112" s="266">
        <v>35</v>
      </c>
      <c r="AR112" s="251">
        <v>41</v>
      </c>
      <c r="AS112" s="251">
        <v>30</v>
      </c>
      <c r="AT112" s="251">
        <v>23</v>
      </c>
      <c r="AU112" s="251">
        <v>24</v>
      </c>
      <c r="AV112" s="251">
        <v>26</v>
      </c>
      <c r="AW112" s="251">
        <v>30</v>
      </c>
      <c r="AX112" s="251">
        <v>41</v>
      </c>
      <c r="AY112" s="251">
        <v>40</v>
      </c>
      <c r="AZ112" s="251">
        <v>38</v>
      </c>
      <c r="BA112" s="251">
        <v>38</v>
      </c>
      <c r="BB112" s="251">
        <v>39</v>
      </c>
      <c r="BC112" s="251">
        <v>21</v>
      </c>
      <c r="BD112" s="251">
        <v>38</v>
      </c>
      <c r="BE112" s="251">
        <v>24</v>
      </c>
      <c r="BF112" s="251">
        <v>18</v>
      </c>
      <c r="BG112" s="251">
        <v>12</v>
      </c>
      <c r="BH112" s="251">
        <v>5</v>
      </c>
      <c r="BI112" s="251">
        <v>1</v>
      </c>
      <c r="BJ112" s="267">
        <v>1</v>
      </c>
    </row>
    <row r="113" spans="1:63">
      <c r="A113" s="1383"/>
      <c r="B113" s="252" t="s">
        <v>409</v>
      </c>
      <c r="C113" s="253">
        <v>26</v>
      </c>
      <c r="D113" s="253">
        <v>34</v>
      </c>
      <c r="E113" s="253">
        <v>29</v>
      </c>
      <c r="F113" s="253">
        <v>28</v>
      </c>
      <c r="G113" s="253">
        <v>19</v>
      </c>
      <c r="H113" s="253">
        <v>27</v>
      </c>
      <c r="I113" s="253">
        <v>30</v>
      </c>
      <c r="J113" s="253">
        <v>39</v>
      </c>
      <c r="K113" s="253">
        <v>33</v>
      </c>
      <c r="L113" s="253">
        <v>33</v>
      </c>
      <c r="M113" s="253">
        <v>34</v>
      </c>
      <c r="N113" s="253">
        <v>17</v>
      </c>
      <c r="O113" s="253">
        <v>24</v>
      </c>
      <c r="P113" s="253">
        <v>23</v>
      </c>
      <c r="Q113" s="253">
        <v>19</v>
      </c>
      <c r="R113" s="253">
        <v>23</v>
      </c>
      <c r="S113" s="253">
        <v>8</v>
      </c>
      <c r="T113" s="253">
        <v>6</v>
      </c>
      <c r="U113" s="253">
        <v>1</v>
      </c>
      <c r="V113" s="260">
        <v>0</v>
      </c>
      <c r="W113" s="268">
        <v>34</v>
      </c>
      <c r="X113" s="253">
        <v>30</v>
      </c>
      <c r="Y113" s="253">
        <v>28</v>
      </c>
      <c r="Z113" s="253">
        <v>17</v>
      </c>
      <c r="AA113" s="253">
        <v>17</v>
      </c>
      <c r="AB113" s="253">
        <v>27</v>
      </c>
      <c r="AC113" s="253">
        <v>32</v>
      </c>
      <c r="AD113" s="253">
        <v>33</v>
      </c>
      <c r="AE113" s="253">
        <v>34</v>
      </c>
      <c r="AF113" s="253">
        <v>32</v>
      </c>
      <c r="AG113" s="253">
        <v>40</v>
      </c>
      <c r="AH113" s="253">
        <v>27</v>
      </c>
      <c r="AI113" s="253">
        <v>35</v>
      </c>
      <c r="AJ113" s="253">
        <v>19</v>
      </c>
      <c r="AK113" s="253">
        <v>20</v>
      </c>
      <c r="AL113" s="253">
        <v>21</v>
      </c>
      <c r="AM113" s="253">
        <v>14</v>
      </c>
      <c r="AN113" s="253">
        <v>9</v>
      </c>
      <c r="AO113" s="253">
        <v>1</v>
      </c>
      <c r="AP113" s="269">
        <v>3</v>
      </c>
      <c r="AQ113" s="268">
        <v>38</v>
      </c>
      <c r="AR113" s="253">
        <v>46</v>
      </c>
      <c r="AS113" s="253">
        <v>34</v>
      </c>
      <c r="AT113" s="253">
        <v>27</v>
      </c>
      <c r="AU113" s="253">
        <v>14</v>
      </c>
      <c r="AV113" s="253">
        <v>25</v>
      </c>
      <c r="AW113" s="253">
        <v>40</v>
      </c>
      <c r="AX113" s="253">
        <v>38</v>
      </c>
      <c r="AY113" s="253">
        <v>33</v>
      </c>
      <c r="AZ113" s="253">
        <v>34</v>
      </c>
      <c r="BA113" s="253">
        <v>38</v>
      </c>
      <c r="BB113" s="253">
        <v>35</v>
      </c>
      <c r="BC113" s="253">
        <v>30</v>
      </c>
      <c r="BD113" s="253">
        <v>29</v>
      </c>
      <c r="BE113" s="253">
        <v>20</v>
      </c>
      <c r="BF113" s="253">
        <v>17</v>
      </c>
      <c r="BG113" s="253">
        <v>17</v>
      </c>
      <c r="BH113" s="253">
        <v>11</v>
      </c>
      <c r="BI113" s="253">
        <v>5</v>
      </c>
      <c r="BJ113" s="269">
        <v>0</v>
      </c>
    </row>
    <row r="114" spans="1:63" ht="14.4" thickBot="1">
      <c r="A114" s="1382" t="s">
        <v>323</v>
      </c>
      <c r="B114" s="250" t="s">
        <v>410</v>
      </c>
      <c r="C114" s="254">
        <v>23</v>
      </c>
      <c r="D114" s="254">
        <v>33</v>
      </c>
      <c r="E114" s="254">
        <v>46</v>
      </c>
      <c r="F114" s="254">
        <v>37</v>
      </c>
      <c r="G114" s="254">
        <v>29</v>
      </c>
      <c r="H114" s="254">
        <v>26</v>
      </c>
      <c r="I114" s="254">
        <v>31</v>
      </c>
      <c r="J114" s="254">
        <v>32</v>
      </c>
      <c r="K114" s="254">
        <v>40</v>
      </c>
      <c r="L114" s="254">
        <v>33</v>
      </c>
      <c r="M114" s="254">
        <v>16</v>
      </c>
      <c r="N114" s="254">
        <v>18</v>
      </c>
      <c r="O114" s="254">
        <v>16</v>
      </c>
      <c r="P114" s="254">
        <v>10</v>
      </c>
      <c r="Q114" s="254">
        <v>16</v>
      </c>
      <c r="R114" s="254">
        <v>14</v>
      </c>
      <c r="S114" s="254">
        <v>0</v>
      </c>
      <c r="T114" s="254">
        <v>3</v>
      </c>
      <c r="U114" s="254">
        <v>0</v>
      </c>
      <c r="V114" s="261">
        <v>0</v>
      </c>
      <c r="W114" s="270">
        <v>32.665990999999998</v>
      </c>
      <c r="X114" s="254">
        <v>35.635626000000002</v>
      </c>
      <c r="Y114" s="254">
        <v>30.686233999999999</v>
      </c>
      <c r="Z114" s="254">
        <v>29.696356999999999</v>
      </c>
      <c r="AA114" s="254">
        <v>29.696355999999994</v>
      </c>
      <c r="AB114" s="254">
        <v>33.655872000000002</v>
      </c>
      <c r="AC114" s="254">
        <v>30.686235</v>
      </c>
      <c r="AD114" s="254">
        <v>29.696356999999999</v>
      </c>
      <c r="AE114" s="254">
        <v>45.534413000000001</v>
      </c>
      <c r="AF114" s="254">
        <v>38.605263000000001</v>
      </c>
      <c r="AG114" s="254">
        <v>31.676113000000001</v>
      </c>
      <c r="AH114" s="254">
        <v>35.635627999999997</v>
      </c>
      <c r="AI114" s="254">
        <v>23.757086000000001</v>
      </c>
      <c r="AJ114" s="254">
        <v>12.868420999999998</v>
      </c>
      <c r="AK114" s="254">
        <v>7.9190290000000001</v>
      </c>
      <c r="AL114" s="254">
        <v>13.858300999999999</v>
      </c>
      <c r="AM114" s="254">
        <v>9.8987859999999994</v>
      </c>
      <c r="AN114" s="254">
        <v>2.9696359999999999</v>
      </c>
      <c r="AO114" s="254">
        <v>1.979757</v>
      </c>
      <c r="AP114" s="271">
        <v>0</v>
      </c>
      <c r="AQ114" s="281">
        <v>38.640776698899998</v>
      </c>
      <c r="AR114" s="282">
        <v>37.674757281299996</v>
      </c>
      <c r="AS114" s="282">
        <v>28.980582524300001</v>
      </c>
      <c r="AT114" s="282">
        <v>32.844660194500001</v>
      </c>
      <c r="AU114" s="282">
        <v>28.980582524399999</v>
      </c>
      <c r="AV114" s="282">
        <v>30.912621358999999</v>
      </c>
      <c r="AW114" s="282">
        <v>31.878640776499996</v>
      </c>
      <c r="AX114" s="282">
        <v>35.742718446399998</v>
      </c>
      <c r="AY114" s="282">
        <v>31.878640776600001</v>
      </c>
      <c r="AZ114" s="282">
        <v>45.402912622099997</v>
      </c>
      <c r="BA114" s="282">
        <v>40.572815534</v>
      </c>
      <c r="BB114" s="282">
        <v>23.184466019400002</v>
      </c>
      <c r="BC114" s="282">
        <v>33.810679611699996</v>
      </c>
      <c r="BD114" s="282">
        <v>21.252427184599998</v>
      </c>
      <c r="BE114" s="282">
        <v>12.558252427299999</v>
      </c>
      <c r="BF114" s="282">
        <v>8.694174757399999</v>
      </c>
      <c r="BG114" s="282">
        <v>8.694174757299999</v>
      </c>
      <c r="BH114" s="282">
        <v>5.7961165048999996</v>
      </c>
      <c r="BI114" s="282">
        <v>1.932038835</v>
      </c>
      <c r="BJ114" s="283">
        <v>0</v>
      </c>
    </row>
    <row r="115" spans="1:63">
      <c r="A115" s="1388"/>
      <c r="B115" s="274" t="s">
        <v>472</v>
      </c>
      <c r="C115" s="255">
        <v>32</v>
      </c>
      <c r="D115" s="255">
        <v>22</v>
      </c>
      <c r="E115" s="255">
        <v>26</v>
      </c>
      <c r="F115" s="255">
        <v>42</v>
      </c>
      <c r="G115" s="255">
        <v>20</v>
      </c>
      <c r="H115" s="255">
        <v>28</v>
      </c>
      <c r="I115" s="255">
        <v>26</v>
      </c>
      <c r="J115" s="255">
        <v>37</v>
      </c>
      <c r="K115" s="255">
        <v>39</v>
      </c>
      <c r="L115" s="255">
        <v>15</v>
      </c>
      <c r="M115" s="255">
        <v>24</v>
      </c>
      <c r="N115" s="255">
        <v>21</v>
      </c>
      <c r="O115" s="255">
        <v>8</v>
      </c>
      <c r="P115" s="255">
        <v>12</v>
      </c>
      <c r="Q115" s="255">
        <v>20</v>
      </c>
      <c r="R115" s="255">
        <v>10</v>
      </c>
      <c r="S115" s="255">
        <v>7</v>
      </c>
      <c r="T115" s="255">
        <v>4</v>
      </c>
      <c r="U115" s="255">
        <v>4</v>
      </c>
      <c r="V115" s="262">
        <v>0</v>
      </c>
      <c r="W115" s="272">
        <v>40.58502</v>
      </c>
      <c r="X115" s="255">
        <v>38.605263999999998</v>
      </c>
      <c r="Y115" s="255">
        <v>48.504048999999995</v>
      </c>
      <c r="Z115" s="255">
        <v>29.696356000000002</v>
      </c>
      <c r="AA115" s="255">
        <v>26.72672</v>
      </c>
      <c r="AB115" s="255">
        <v>26.726720999999998</v>
      </c>
      <c r="AC115" s="255">
        <v>28.706477</v>
      </c>
      <c r="AD115" s="255">
        <v>43.554654999999997</v>
      </c>
      <c r="AE115" s="255">
        <v>47.51417</v>
      </c>
      <c r="AF115" s="255">
        <v>31.676114000000002</v>
      </c>
      <c r="AG115" s="255">
        <v>34.645747999999998</v>
      </c>
      <c r="AH115" s="255">
        <v>19.797570999999998</v>
      </c>
      <c r="AI115" s="255">
        <v>21.777328000000001</v>
      </c>
      <c r="AJ115" s="255">
        <v>18.807693</v>
      </c>
      <c r="AK115" s="255">
        <v>10.888664</v>
      </c>
      <c r="AL115" s="255">
        <v>9.8987859999999994</v>
      </c>
      <c r="AM115" s="255">
        <v>10.888665</v>
      </c>
      <c r="AN115" s="255">
        <v>9.8987850000000002</v>
      </c>
      <c r="AO115" s="255">
        <v>1.9797579999999999</v>
      </c>
      <c r="AP115" s="273">
        <v>0</v>
      </c>
      <c r="AQ115" s="284">
        <v>27.048543689300001</v>
      </c>
      <c r="AR115" s="285">
        <v>33.810679611700003</v>
      </c>
      <c r="AS115" s="285">
        <v>45.402912621200002</v>
      </c>
      <c r="AT115" s="285">
        <v>39.606796116899993</v>
      </c>
      <c r="AU115" s="285">
        <v>27.048543689300001</v>
      </c>
      <c r="AV115" s="285">
        <v>28.980582524400003</v>
      </c>
      <c r="AW115" s="285">
        <v>30.912621359299997</v>
      </c>
      <c r="AX115" s="285">
        <v>28.980582524299997</v>
      </c>
      <c r="AY115" s="285">
        <v>46.368932038499999</v>
      </c>
      <c r="AZ115" s="285">
        <v>36.708737864299998</v>
      </c>
      <c r="BA115" s="285">
        <v>35.742718447000001</v>
      </c>
      <c r="BB115" s="285">
        <v>30.912621359300001</v>
      </c>
      <c r="BC115" s="285">
        <v>21.252427184499997</v>
      </c>
      <c r="BD115" s="285">
        <v>20.286407767100002</v>
      </c>
      <c r="BE115" s="285">
        <v>15.4563106797</v>
      </c>
      <c r="BF115" s="285">
        <v>10.626213592299999</v>
      </c>
      <c r="BG115" s="285">
        <v>8.694174757399999</v>
      </c>
      <c r="BH115" s="285">
        <v>3.8640776699999999</v>
      </c>
      <c r="BI115" s="285">
        <v>3.8640776698999999</v>
      </c>
      <c r="BJ115" s="286">
        <v>0</v>
      </c>
    </row>
    <row r="116" spans="1:63" ht="14.4" thickBot="1">
      <c r="A116" s="1389" t="s">
        <v>308</v>
      </c>
      <c r="B116" s="279" t="s">
        <v>309</v>
      </c>
      <c r="C116" s="275">
        <f>C76+C74+C104+C106+C108+C110+C112+C114+C72+C78+C80+C82+C84+C86+C88+C90+C92+C94+C96+C98+C100+C102</f>
        <v>1326</v>
      </c>
      <c r="D116" s="275">
        <f t="shared" ref="D116:BJ116" si="8">D76+D74+D104+D106+D108+D110+D112+D114+D72+D78+D80+D82+D84+D86+D88+D90+D92+D94+D96+D98+D100+D102</f>
        <v>1489</v>
      </c>
      <c r="E116" s="275">
        <f t="shared" si="8"/>
        <v>1603</v>
      </c>
      <c r="F116" s="275">
        <f t="shared" si="8"/>
        <v>1377</v>
      </c>
      <c r="G116" s="275">
        <f t="shared" si="8"/>
        <v>981</v>
      </c>
      <c r="H116" s="275">
        <f t="shared" si="8"/>
        <v>1147</v>
      </c>
      <c r="I116" s="275">
        <f t="shared" si="8"/>
        <v>1460</v>
      </c>
      <c r="J116" s="275">
        <f t="shared" si="8"/>
        <v>1668</v>
      </c>
      <c r="K116" s="275">
        <f t="shared" si="8"/>
        <v>1713</v>
      </c>
      <c r="L116" s="275">
        <f t="shared" si="8"/>
        <v>1628</v>
      </c>
      <c r="M116" s="275">
        <f t="shared" si="8"/>
        <v>1433</v>
      </c>
      <c r="N116" s="275">
        <f t="shared" si="8"/>
        <v>1071</v>
      </c>
      <c r="O116" s="275">
        <f t="shared" si="8"/>
        <v>1122</v>
      </c>
      <c r="P116" s="275">
        <f t="shared" si="8"/>
        <v>944</v>
      </c>
      <c r="Q116" s="275">
        <f t="shared" si="8"/>
        <v>734</v>
      </c>
      <c r="R116" s="275">
        <f t="shared" si="8"/>
        <v>536</v>
      </c>
      <c r="S116" s="275">
        <f t="shared" si="8"/>
        <v>204</v>
      </c>
      <c r="T116" s="275">
        <f t="shared" si="8"/>
        <v>168</v>
      </c>
      <c r="U116" s="275">
        <f t="shared" si="8"/>
        <v>57</v>
      </c>
      <c r="V116" s="276">
        <f t="shared" si="8"/>
        <v>18</v>
      </c>
      <c r="W116" s="275">
        <f t="shared" si="8"/>
        <v>1535.1215499999996</v>
      </c>
      <c r="X116" s="275">
        <f t="shared" si="8"/>
        <v>1739.47336</v>
      </c>
      <c r="Y116" s="275">
        <f t="shared" si="8"/>
        <v>1638.5564729999996</v>
      </c>
      <c r="Z116" s="275">
        <f t="shared" si="8"/>
        <v>1564.7569660000004</v>
      </c>
      <c r="AA116" s="275">
        <f t="shared" si="8"/>
        <v>1102.812508</v>
      </c>
      <c r="AB116" s="275">
        <f t="shared" si="8"/>
        <v>995.39648299999999</v>
      </c>
      <c r="AC116" s="275">
        <f t="shared" si="8"/>
        <v>1357.766445</v>
      </c>
      <c r="AD116" s="275">
        <f t="shared" si="8"/>
        <v>1849.5572569999999</v>
      </c>
      <c r="AE116" s="275">
        <f t="shared" si="8"/>
        <v>1869.2586269999997</v>
      </c>
      <c r="AF116" s="275">
        <f t="shared" si="8"/>
        <v>1834.6877939999997</v>
      </c>
      <c r="AG116" s="275">
        <f t="shared" si="8"/>
        <v>1672.0939019999996</v>
      </c>
      <c r="AH116" s="275">
        <f t="shared" si="8"/>
        <v>1580.5223619999999</v>
      </c>
      <c r="AI116" s="275">
        <f t="shared" si="8"/>
        <v>1445.776091</v>
      </c>
      <c r="AJ116" s="275">
        <f t="shared" si="8"/>
        <v>980.65798499999994</v>
      </c>
      <c r="AK116" s="275">
        <f t="shared" si="8"/>
        <v>883.16225800000018</v>
      </c>
      <c r="AL116" s="275">
        <f t="shared" si="8"/>
        <v>714.59928200000002</v>
      </c>
      <c r="AM116" s="275">
        <f t="shared" si="8"/>
        <v>460.5694499999999</v>
      </c>
      <c r="AN116" s="275">
        <f t="shared" si="8"/>
        <v>218.89873799999998</v>
      </c>
      <c r="AO116" s="275">
        <f t="shared" si="8"/>
        <v>51.514323999999995</v>
      </c>
      <c r="AP116" s="276">
        <f t="shared" si="8"/>
        <v>13.248476999999999</v>
      </c>
      <c r="AQ116" s="275">
        <f t="shared" si="8"/>
        <v>1667.4212569291999</v>
      </c>
      <c r="AR116" s="275">
        <f t="shared" si="8"/>
        <v>1880.7654421949001</v>
      </c>
      <c r="AS116" s="275">
        <f t="shared" si="8"/>
        <v>1838.9863811674002</v>
      </c>
      <c r="AT116" s="275">
        <f t="shared" si="8"/>
        <v>1573.6676837648995</v>
      </c>
      <c r="AU116" s="275">
        <f t="shared" si="8"/>
        <v>1028.4276085539</v>
      </c>
      <c r="AV116" s="275">
        <f t="shared" si="8"/>
        <v>1165.5093651882996</v>
      </c>
      <c r="AW116" s="275">
        <f t="shared" si="8"/>
        <v>1534.0909818328003</v>
      </c>
      <c r="AX116" s="275">
        <f t="shared" si="8"/>
        <v>1753.8222134764999</v>
      </c>
      <c r="AY116" s="275">
        <f t="shared" si="8"/>
        <v>1961.1031656242001</v>
      </c>
      <c r="AZ116" s="275">
        <f t="shared" si="8"/>
        <v>1908.0547325307998</v>
      </c>
      <c r="BA116" s="275">
        <f t="shared" si="8"/>
        <v>1844.1992108397999</v>
      </c>
      <c r="BB116" s="275">
        <f t="shared" si="8"/>
        <v>1673.7855037465001</v>
      </c>
      <c r="BC116" s="275">
        <f t="shared" si="8"/>
        <v>1522.9041471253001</v>
      </c>
      <c r="BD116" s="275">
        <f t="shared" si="8"/>
        <v>1372.8128337513001</v>
      </c>
      <c r="BE116" s="275">
        <f t="shared" si="8"/>
        <v>916.28320195529989</v>
      </c>
      <c r="BF116" s="275">
        <f t="shared" si="8"/>
        <v>765.80325835220003</v>
      </c>
      <c r="BG116" s="275">
        <f t="shared" si="8"/>
        <v>554.07543290080002</v>
      </c>
      <c r="BH116" s="275">
        <f t="shared" si="8"/>
        <v>293.90789798239996</v>
      </c>
      <c r="BI116" s="275">
        <f t="shared" si="8"/>
        <v>91.871193763799994</v>
      </c>
      <c r="BJ116" s="276">
        <f t="shared" si="8"/>
        <v>14.989783786</v>
      </c>
    </row>
    <row r="117" spans="1:63">
      <c r="A117" s="1390"/>
      <c r="B117" s="280" t="s">
        <v>310</v>
      </c>
      <c r="C117" s="277">
        <f>C77+C75+C105+C107+C109+C111+C113+C115+C73+C79+C81+C83+C85+C87+C89+C91+C93+C95+C97+C99+C101+C103</f>
        <v>1178</v>
      </c>
      <c r="D117" s="277">
        <f t="shared" ref="D117:BJ117" si="9">D77+D75+D105+D107+D109+D111+D113+D115+D73+D79+D81+D83+D85+D87+D89+D91+D93+D95+D97+D99+D101+D103</f>
        <v>1416</v>
      </c>
      <c r="E117" s="277">
        <f t="shared" si="9"/>
        <v>1474</v>
      </c>
      <c r="F117" s="277">
        <f t="shared" si="9"/>
        <v>1353</v>
      </c>
      <c r="G117" s="277">
        <f t="shared" si="9"/>
        <v>854</v>
      </c>
      <c r="H117" s="277">
        <f t="shared" si="9"/>
        <v>1203</v>
      </c>
      <c r="I117" s="277">
        <f t="shared" si="9"/>
        <v>1521</v>
      </c>
      <c r="J117" s="277">
        <f t="shared" si="9"/>
        <v>1706</v>
      </c>
      <c r="K117" s="277">
        <f t="shared" si="9"/>
        <v>1646</v>
      </c>
      <c r="L117" s="277">
        <f t="shared" si="9"/>
        <v>1485</v>
      </c>
      <c r="M117" s="277">
        <f t="shared" si="9"/>
        <v>1490</v>
      </c>
      <c r="N117" s="277">
        <f t="shared" si="9"/>
        <v>1059</v>
      </c>
      <c r="O117" s="277">
        <f t="shared" si="9"/>
        <v>1073</v>
      </c>
      <c r="P117" s="277">
        <f t="shared" si="9"/>
        <v>941</v>
      </c>
      <c r="Q117" s="277">
        <f t="shared" si="9"/>
        <v>799</v>
      </c>
      <c r="R117" s="277">
        <f t="shared" si="9"/>
        <v>646</v>
      </c>
      <c r="S117" s="277">
        <f t="shared" si="9"/>
        <v>319</v>
      </c>
      <c r="T117" s="277">
        <f t="shared" si="9"/>
        <v>326</v>
      </c>
      <c r="U117" s="277">
        <f t="shared" si="9"/>
        <v>134</v>
      </c>
      <c r="V117" s="278">
        <f t="shared" si="9"/>
        <v>32</v>
      </c>
      <c r="W117" s="277">
        <f t="shared" si="9"/>
        <v>1507.3671919999997</v>
      </c>
      <c r="X117" s="277">
        <f t="shared" si="9"/>
        <v>1600.8812049999997</v>
      </c>
      <c r="Y117" s="277">
        <f t="shared" si="9"/>
        <v>1565.0832470000003</v>
      </c>
      <c r="Z117" s="277">
        <f t="shared" si="9"/>
        <v>1429.9196460000003</v>
      </c>
      <c r="AA117" s="277">
        <f t="shared" si="9"/>
        <v>922.16882699999996</v>
      </c>
      <c r="AB117" s="277">
        <f t="shared" si="9"/>
        <v>1100.42956</v>
      </c>
      <c r="AC117" s="277">
        <f t="shared" si="9"/>
        <v>1350.2665470000002</v>
      </c>
      <c r="AD117" s="277">
        <f t="shared" si="9"/>
        <v>1910.349921</v>
      </c>
      <c r="AE117" s="277">
        <f t="shared" si="9"/>
        <v>1906.5861570000002</v>
      </c>
      <c r="AF117" s="277">
        <f t="shared" si="9"/>
        <v>1801.9697490000001</v>
      </c>
      <c r="AG117" s="277">
        <f t="shared" si="9"/>
        <v>1680.3263260000001</v>
      </c>
      <c r="AH117" s="277">
        <f t="shared" si="9"/>
        <v>1544.1618539999999</v>
      </c>
      <c r="AI117" s="277">
        <f t="shared" si="9"/>
        <v>1434.6160869999999</v>
      </c>
      <c r="AJ117" s="277">
        <f t="shared" si="9"/>
        <v>1045.442857</v>
      </c>
      <c r="AK117" s="277">
        <f t="shared" si="9"/>
        <v>979.39519099999984</v>
      </c>
      <c r="AL117" s="277">
        <f t="shared" si="9"/>
        <v>801.31865700000003</v>
      </c>
      <c r="AM117" s="277">
        <f t="shared" si="9"/>
        <v>624.20715800000005</v>
      </c>
      <c r="AN117" s="277">
        <f t="shared" si="9"/>
        <v>406.74065399999995</v>
      </c>
      <c r="AO117" s="277">
        <f t="shared" si="9"/>
        <v>109.80198899999999</v>
      </c>
      <c r="AP117" s="278">
        <f t="shared" si="9"/>
        <v>80.536867999999998</v>
      </c>
      <c r="AQ117" s="277">
        <f t="shared" si="9"/>
        <v>1643.4369441460001</v>
      </c>
      <c r="AR117" s="277">
        <f t="shared" si="9"/>
        <v>1795.3276072254</v>
      </c>
      <c r="AS117" s="277">
        <f t="shared" si="9"/>
        <v>1708.6578557015002</v>
      </c>
      <c r="AT117" s="277">
        <f t="shared" si="9"/>
        <v>1461.9902103583997</v>
      </c>
      <c r="AU117" s="277">
        <f t="shared" si="9"/>
        <v>936.71180204320001</v>
      </c>
      <c r="AV117" s="277">
        <f t="shared" si="9"/>
        <v>1247.4878617758998</v>
      </c>
      <c r="AW117" s="277">
        <f t="shared" si="9"/>
        <v>1706.2613263247003</v>
      </c>
      <c r="AX117" s="277">
        <f t="shared" si="9"/>
        <v>1652.1064511006</v>
      </c>
      <c r="AY117" s="277">
        <f t="shared" si="9"/>
        <v>2047.2094658738001</v>
      </c>
      <c r="AZ117" s="277">
        <f t="shared" si="9"/>
        <v>1947.5821329040998</v>
      </c>
      <c r="BA117" s="277">
        <f t="shared" si="9"/>
        <v>1816.4854079898998</v>
      </c>
      <c r="BB117" s="277">
        <f t="shared" si="9"/>
        <v>1667.0395602188</v>
      </c>
      <c r="BC117" s="277">
        <f t="shared" si="9"/>
        <v>1551.6808762737001</v>
      </c>
      <c r="BD117" s="277">
        <f t="shared" si="9"/>
        <v>1415.8683907857999</v>
      </c>
      <c r="BE117" s="277">
        <f t="shared" si="9"/>
        <v>998.12179844199989</v>
      </c>
      <c r="BF117" s="277">
        <f t="shared" si="9"/>
        <v>877.55890535100002</v>
      </c>
      <c r="BG117" s="277">
        <f t="shared" si="9"/>
        <v>696.85174883100001</v>
      </c>
      <c r="BH117" s="277">
        <f t="shared" si="9"/>
        <v>477.86347922229999</v>
      </c>
      <c r="BI117" s="277">
        <f t="shared" si="9"/>
        <v>214.96790990120002</v>
      </c>
      <c r="BJ117" s="278">
        <f t="shared" si="9"/>
        <v>53.308970040799998</v>
      </c>
      <c r="BK117" s="257"/>
    </row>
    <row r="118" spans="1:63">
      <c r="A118" s="256"/>
      <c r="B118" s="256"/>
      <c r="C118" s="246"/>
      <c r="D118" s="246"/>
      <c r="E118" s="246"/>
      <c r="F118" s="246"/>
      <c r="G118" s="246"/>
      <c r="H118" s="246"/>
      <c r="I118" s="246"/>
      <c r="J118" s="246"/>
      <c r="K118" s="246"/>
      <c r="L118" s="246"/>
      <c r="M118" s="246"/>
      <c r="N118" s="246"/>
      <c r="O118" s="246"/>
      <c r="P118" s="246"/>
      <c r="Q118" s="246"/>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row>
    <row r="119" spans="1:63">
      <c r="B119" s="244"/>
      <c r="C119" s="257"/>
      <c r="D119" s="257"/>
      <c r="E119" s="257"/>
      <c r="F119" s="257"/>
      <c r="G119" s="257"/>
      <c r="H119" s="257"/>
      <c r="I119" s="257"/>
      <c r="J119" s="257"/>
      <c r="K119" s="257"/>
      <c r="L119" s="257"/>
      <c r="M119" s="257"/>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row>
    <row r="120" spans="1:63">
      <c r="B120" s="244"/>
      <c r="C120" s="257"/>
      <c r="D120" s="257"/>
      <c r="E120" s="257"/>
      <c r="F120" s="257"/>
      <c r="G120" s="257"/>
      <c r="H120" s="257"/>
      <c r="I120" s="257"/>
      <c r="J120" s="257"/>
      <c r="K120" s="257"/>
      <c r="L120" s="257"/>
      <c r="M120" s="257"/>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row>
    <row r="121" spans="1:63">
      <c r="B121" s="244"/>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row>
    <row r="122" spans="1:63">
      <c r="B122" s="244"/>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row>
    <row r="123" spans="1:63">
      <c r="B123" s="244"/>
    </row>
    <row r="124" spans="1:63">
      <c r="B124" s="244"/>
    </row>
    <row r="125" spans="1:63">
      <c r="B125" s="244"/>
    </row>
    <row r="126" spans="1:63">
      <c r="B126" s="244"/>
    </row>
    <row r="127" spans="1:63">
      <c r="B127" s="244"/>
    </row>
    <row r="128" spans="1:63">
      <c r="B128" s="244"/>
    </row>
    <row r="129" spans="2:2">
      <c r="B129" s="244"/>
    </row>
    <row r="130" spans="2:2">
      <c r="B130" s="244"/>
    </row>
    <row r="131" spans="2:2">
      <c r="B131" s="244"/>
    </row>
    <row r="132" spans="2:2">
      <c r="B132" s="244"/>
    </row>
    <row r="133" spans="2:2">
      <c r="B133" s="244"/>
    </row>
    <row r="134" spans="2:2">
      <c r="B134" s="244"/>
    </row>
    <row r="135" spans="2:2">
      <c r="B135" s="244"/>
    </row>
    <row r="136" spans="2:2">
      <c r="B136" s="244"/>
    </row>
    <row r="137" spans="2:2">
      <c r="B137" s="244"/>
    </row>
    <row r="138" spans="2:2">
      <c r="B138" s="244"/>
    </row>
    <row r="139" spans="2:2">
      <c r="B139" s="244"/>
    </row>
    <row r="140" spans="2:2">
      <c r="B140" s="244"/>
    </row>
    <row r="141" spans="2:2">
      <c r="B141" s="244"/>
    </row>
    <row r="142" spans="2:2">
      <c r="B142" s="244"/>
    </row>
    <row r="143" spans="2:2">
      <c r="B143" s="244"/>
    </row>
    <row r="144" spans="2:2">
      <c r="B144" s="244"/>
    </row>
    <row r="145" spans="2:2">
      <c r="B145" s="244"/>
    </row>
    <row r="146" spans="2:2">
      <c r="B146" s="244"/>
    </row>
    <row r="147" spans="2:2">
      <c r="B147" s="244"/>
    </row>
    <row r="148" spans="2:2">
      <c r="B148" s="244"/>
    </row>
    <row r="149" spans="2:2">
      <c r="B149" s="244"/>
    </row>
    <row r="150" spans="2:2">
      <c r="B150" s="244"/>
    </row>
    <row r="151" spans="2:2">
      <c r="B151" s="244"/>
    </row>
    <row r="152" spans="2:2">
      <c r="B152" s="244"/>
    </row>
    <row r="153" spans="2:2">
      <c r="B153" s="244"/>
    </row>
    <row r="154" spans="2:2">
      <c r="B154" s="244"/>
    </row>
    <row r="155" spans="2:2">
      <c r="B155" s="244"/>
    </row>
    <row r="156" spans="2:2">
      <c r="B156" s="244"/>
    </row>
    <row r="157" spans="2:2">
      <c r="B157" s="244"/>
    </row>
    <row r="158" spans="2:2">
      <c r="B158" s="244"/>
    </row>
    <row r="159" spans="2:2">
      <c r="B159" s="244"/>
    </row>
    <row r="160" spans="2:2">
      <c r="B160" s="244"/>
    </row>
    <row r="161" spans="2:2">
      <c r="B161" s="244"/>
    </row>
    <row r="162" spans="2:2">
      <c r="B162" s="244"/>
    </row>
    <row r="163" spans="2:2">
      <c r="B163" s="244"/>
    </row>
    <row r="164" spans="2:2">
      <c r="B164" s="244"/>
    </row>
    <row r="165" spans="2:2">
      <c r="B165" s="244"/>
    </row>
    <row r="166" spans="2:2">
      <c r="B166" s="244"/>
    </row>
    <row r="167" spans="2:2">
      <c r="B167" s="244"/>
    </row>
    <row r="168" spans="2:2">
      <c r="B168" s="244"/>
    </row>
    <row r="169" spans="2:2">
      <c r="B169" s="244"/>
    </row>
    <row r="170" spans="2:2">
      <c r="B170" s="244"/>
    </row>
    <row r="171" spans="2:2">
      <c r="B171" s="244"/>
    </row>
    <row r="172" spans="2:2">
      <c r="B172" s="244"/>
    </row>
    <row r="173" spans="2:2">
      <c r="B173" s="244"/>
    </row>
    <row r="174" spans="2:2">
      <c r="B174" s="244"/>
    </row>
    <row r="175" spans="2:2">
      <c r="B175" s="244"/>
    </row>
    <row r="176" spans="2:2">
      <c r="B176" s="244"/>
    </row>
    <row r="177" spans="2:2">
      <c r="B177" s="244"/>
    </row>
    <row r="178" spans="2:2">
      <c r="B178" s="244"/>
    </row>
    <row r="179" spans="2:2">
      <c r="B179" s="244"/>
    </row>
    <row r="180" spans="2:2">
      <c r="B180" s="244"/>
    </row>
    <row r="181" spans="2:2">
      <c r="B181" s="244"/>
    </row>
    <row r="182" spans="2:2">
      <c r="B182" s="244"/>
    </row>
    <row r="183" spans="2:2">
      <c r="B183" s="244"/>
    </row>
    <row r="184" spans="2:2">
      <c r="B184" s="244"/>
    </row>
    <row r="185" spans="2:2">
      <c r="B185" s="244"/>
    </row>
    <row r="186" spans="2:2">
      <c r="B186" s="244"/>
    </row>
    <row r="187" spans="2:2">
      <c r="B187" s="244"/>
    </row>
    <row r="188" spans="2:2">
      <c r="B188" s="244"/>
    </row>
    <row r="189" spans="2:2">
      <c r="B189" s="244"/>
    </row>
    <row r="190" spans="2:2">
      <c r="B190" s="244"/>
    </row>
    <row r="191" spans="2:2">
      <c r="B191" s="244"/>
    </row>
    <row r="192" spans="2:2">
      <c r="B192" s="244"/>
    </row>
    <row r="193" spans="2:2">
      <c r="B193" s="244"/>
    </row>
    <row r="194" spans="2:2">
      <c r="B194" s="244"/>
    </row>
    <row r="195" spans="2:2">
      <c r="B195" s="244"/>
    </row>
    <row r="196" spans="2:2">
      <c r="B196" s="244"/>
    </row>
    <row r="197" spans="2:2">
      <c r="B197" s="244"/>
    </row>
    <row r="198" spans="2:2">
      <c r="B198" s="244"/>
    </row>
    <row r="199" spans="2:2">
      <c r="B199" s="244"/>
    </row>
    <row r="200" spans="2:2">
      <c r="B200" s="244"/>
    </row>
    <row r="201" spans="2:2">
      <c r="B201" s="244"/>
    </row>
    <row r="202" spans="2:2">
      <c r="B202" s="244"/>
    </row>
    <row r="203" spans="2:2">
      <c r="B203" s="244"/>
    </row>
    <row r="204" spans="2:2">
      <c r="B204" s="244"/>
    </row>
    <row r="205" spans="2:2">
      <c r="B205" s="244"/>
    </row>
    <row r="206" spans="2:2">
      <c r="B206" s="244"/>
    </row>
    <row r="207" spans="2:2">
      <c r="B207" s="244"/>
    </row>
    <row r="208" spans="2:2">
      <c r="B208" s="244"/>
    </row>
    <row r="209" spans="2:2">
      <c r="B209" s="244"/>
    </row>
    <row r="210" spans="2:2">
      <c r="B210" s="244"/>
    </row>
    <row r="211" spans="2:2">
      <c r="B211" s="244"/>
    </row>
    <row r="212" spans="2:2">
      <c r="B212" s="244"/>
    </row>
    <row r="213" spans="2:2">
      <c r="B213" s="244"/>
    </row>
    <row r="214" spans="2:2">
      <c r="B214" s="244"/>
    </row>
    <row r="215" spans="2:2">
      <c r="B215" s="244"/>
    </row>
    <row r="216" spans="2:2">
      <c r="B216" s="244"/>
    </row>
    <row r="217" spans="2:2">
      <c r="B217" s="244"/>
    </row>
    <row r="218" spans="2:2">
      <c r="B218" s="244"/>
    </row>
    <row r="219" spans="2:2">
      <c r="B219" s="244"/>
    </row>
    <row r="220" spans="2:2">
      <c r="B220" s="244"/>
    </row>
  </sheetData>
  <mergeCells count="60">
    <mergeCell ref="A40:A41"/>
    <mergeCell ref="A18:A19"/>
    <mergeCell ref="A54:A55"/>
    <mergeCell ref="A30:A31"/>
    <mergeCell ref="A42:A43"/>
    <mergeCell ref="A44:A45"/>
    <mergeCell ref="A46:A47"/>
    <mergeCell ref="A48:A49"/>
    <mergeCell ref="A50:A51"/>
    <mergeCell ref="A68:A69"/>
    <mergeCell ref="A52:A53"/>
    <mergeCell ref="A112:A113"/>
    <mergeCell ref="A114:A115"/>
    <mergeCell ref="A116:A117"/>
    <mergeCell ref="A60:A61"/>
    <mergeCell ref="A56:A57"/>
    <mergeCell ref="A58:A59"/>
    <mergeCell ref="A70:A71"/>
    <mergeCell ref="A76:A77"/>
    <mergeCell ref="A104:A105"/>
    <mergeCell ref="A108:A109"/>
    <mergeCell ref="A110:A111"/>
    <mergeCell ref="A106:A107"/>
    <mergeCell ref="A88:A89"/>
    <mergeCell ref="A90:A91"/>
    <mergeCell ref="AQ2:BJ2"/>
    <mergeCell ref="A26:A27"/>
    <mergeCell ref="C2:V2"/>
    <mergeCell ref="A38:A39"/>
    <mergeCell ref="A32:A33"/>
    <mergeCell ref="A24:A25"/>
    <mergeCell ref="A4:A5"/>
    <mergeCell ref="A16:A17"/>
    <mergeCell ref="A6:A7"/>
    <mergeCell ref="A36:A37"/>
    <mergeCell ref="A14:A15"/>
    <mergeCell ref="A8:A9"/>
    <mergeCell ref="A10:A11"/>
    <mergeCell ref="A12:A13"/>
    <mergeCell ref="A92:A93"/>
    <mergeCell ref="A94:A95"/>
    <mergeCell ref="A96:A97"/>
    <mergeCell ref="A98:A99"/>
    <mergeCell ref="A100:A101"/>
    <mergeCell ref="A102:A103"/>
    <mergeCell ref="W2:AP2"/>
    <mergeCell ref="A72:A73"/>
    <mergeCell ref="A82:A83"/>
    <mergeCell ref="A84:A85"/>
    <mergeCell ref="A86:A87"/>
    <mergeCell ref="A34:A35"/>
    <mergeCell ref="A22:A23"/>
    <mergeCell ref="A28:A29"/>
    <mergeCell ref="A20:A21"/>
    <mergeCell ref="A66:A67"/>
    <mergeCell ref="A78:A79"/>
    <mergeCell ref="A80:A81"/>
    <mergeCell ref="A62:A63"/>
    <mergeCell ref="A64:A65"/>
    <mergeCell ref="A74:A7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6">
    <tabColor theme="3"/>
    <pageSetUpPr fitToPage="1"/>
  </sheetPr>
  <dimension ref="A1:Q55"/>
  <sheetViews>
    <sheetView showGridLines="0" tabSelected="1" zoomScale="110" zoomScaleNormal="110" workbookViewId="0">
      <selection activeCell="G5" sqref="G5"/>
    </sheetView>
  </sheetViews>
  <sheetFormatPr baseColWidth="10" defaultRowHeight="13.2"/>
  <cols>
    <col min="7" max="7" width="26" customWidth="1"/>
    <col min="8" max="8" width="6.5546875" customWidth="1"/>
    <col min="14" max="14" width="11.44140625" customWidth="1"/>
  </cols>
  <sheetData>
    <row r="1" spans="1:17" s="244" customFormat="1" ht="13.8"/>
    <row r="2" spans="1:17" s="330" customFormat="1" ht="16.8">
      <c r="A2" s="328" t="s">
        <v>613</v>
      </c>
      <c r="B2" s="329"/>
      <c r="C2" s="329"/>
      <c r="D2" s="329"/>
      <c r="E2" s="329"/>
      <c r="F2" s="329"/>
      <c r="G2" s="328" t="str">
        <f>CONCATENATE("Sélectionnez l'année à comparer avec le RP",'Aides traitements'!$I$11)</f>
        <v>Sélectionnez l'année à comparer avec le RP2020</v>
      </c>
      <c r="H2" s="329"/>
      <c r="I2" s="329"/>
      <c r="J2" s="329"/>
      <c r="K2" s="1391" t="s">
        <v>719</v>
      </c>
      <c r="L2" s="1391"/>
      <c r="M2" s="1391"/>
      <c r="N2" s="1391"/>
      <c r="O2" s="1391"/>
      <c r="P2" s="329"/>
    </row>
    <row r="3" spans="1:17" s="244" customFormat="1" ht="13.8">
      <c r="G3" s="327"/>
      <c r="H3" s="246"/>
      <c r="I3" s="246"/>
      <c r="J3" s="246"/>
      <c r="K3" s="1391"/>
      <c r="L3" s="1391"/>
      <c r="M3" s="1391"/>
      <c r="N3" s="1391"/>
      <c r="O3" s="1391"/>
    </row>
    <row r="4" spans="1:17" s="244" customFormat="1" ht="13.8">
      <c r="C4" s="244">
        <v>16</v>
      </c>
      <c r="G4" s="246">
        <v>1</v>
      </c>
      <c r="H4" s="246"/>
      <c r="I4" s="246"/>
      <c r="J4" s="246"/>
      <c r="K4" s="1391"/>
      <c r="L4" s="1391"/>
      <c r="M4" s="1391"/>
      <c r="N4" s="1391"/>
      <c r="O4" s="1391"/>
    </row>
    <row r="5" spans="1:17" s="244" customFormat="1" ht="13.8">
      <c r="G5" s="246"/>
      <c r="H5" s="246"/>
      <c r="I5" s="246"/>
      <c r="J5" s="246"/>
      <c r="K5" s="1391"/>
      <c r="L5" s="1391"/>
      <c r="M5" s="1391"/>
      <c r="N5" s="1391"/>
      <c r="O5" s="1391"/>
    </row>
    <row r="6" spans="1:17" s="244" customFormat="1" ht="13.8">
      <c r="G6" s="246"/>
      <c r="H6" s="246"/>
      <c r="J6" s="246"/>
      <c r="K6" s="1391"/>
      <c r="L6" s="1391"/>
      <c r="M6" s="1391"/>
      <c r="N6" s="1391"/>
      <c r="O6" s="1391"/>
    </row>
    <row r="7" spans="1:17" s="330" customFormat="1" ht="16.8">
      <c r="A7" s="328" t="s">
        <v>241</v>
      </c>
      <c r="B7" s="331"/>
      <c r="C7" s="331"/>
      <c r="D7" s="331"/>
      <c r="E7" s="331"/>
      <c r="F7" s="331"/>
      <c r="G7" s="331"/>
      <c r="H7" s="331"/>
      <c r="I7" s="331"/>
      <c r="J7" s="331"/>
      <c r="K7" s="331"/>
      <c r="L7" s="331"/>
      <c r="M7" s="331"/>
      <c r="N7" s="331"/>
      <c r="O7" s="331"/>
    </row>
    <row r="8" spans="1:17" s="244" customFormat="1" ht="13.8"/>
    <row r="9" spans="1:17" s="137" customFormat="1" ht="15.6">
      <c r="A9" s="498" t="s">
        <v>454</v>
      </c>
      <c r="B9" s="332"/>
      <c r="C9" s="332"/>
      <c r="D9" s="333"/>
      <c r="E9" s="333"/>
      <c r="F9" s="333"/>
      <c r="G9" s="333"/>
      <c r="I9" s="503" t="s">
        <v>672</v>
      </c>
      <c r="J9" s="473"/>
      <c r="K9" s="473"/>
      <c r="L9" s="473"/>
      <c r="M9" s="473"/>
      <c r="N9" s="473"/>
      <c r="O9" s="473"/>
    </row>
    <row r="10" spans="1:17" s="137" customFormat="1" ht="15.6">
      <c r="A10" s="334"/>
      <c r="B10" s="332"/>
      <c r="C10" s="332"/>
      <c r="D10" s="333"/>
      <c r="E10" s="333"/>
      <c r="F10" s="333"/>
      <c r="G10" s="333"/>
      <c r="I10" s="474"/>
      <c r="J10" s="473"/>
      <c r="K10" s="473"/>
      <c r="L10" s="473"/>
      <c r="M10" s="473"/>
      <c r="N10" s="473"/>
      <c r="O10" s="473"/>
    </row>
    <row r="11" spans="1:17" s="244" customFormat="1" ht="14.4">
      <c r="A11" s="471" t="s">
        <v>251</v>
      </c>
      <c r="B11" s="461"/>
      <c r="C11" s="462"/>
      <c r="D11" s="463"/>
      <c r="E11" s="463"/>
      <c r="F11" s="463"/>
      <c r="G11" s="463"/>
      <c r="I11" s="504" t="s">
        <v>84</v>
      </c>
      <c r="J11" s="475"/>
      <c r="K11" s="475"/>
      <c r="L11" s="476"/>
      <c r="M11" s="476"/>
      <c r="N11" s="476"/>
      <c r="O11" s="476"/>
    </row>
    <row r="12" spans="1:17" s="465" customFormat="1" ht="13.8">
      <c r="A12" s="43" t="s">
        <v>83</v>
      </c>
      <c r="B12" s="464" t="s">
        <v>666</v>
      </c>
      <c r="C12" s="44"/>
      <c r="D12" s="44"/>
      <c r="E12" s="44"/>
      <c r="F12" s="44"/>
      <c r="G12" s="44"/>
      <c r="I12" s="505" t="s">
        <v>83</v>
      </c>
      <c r="J12" s="506" t="str">
        <f>CONCATENATE("Évolution du parc de logements depuis"," ",'Aides traitements'!I9)</f>
        <v>Évolution du parc de logements depuis 2009</v>
      </c>
      <c r="K12" s="507"/>
      <c r="L12" s="477"/>
      <c r="M12" s="477"/>
      <c r="N12" s="477"/>
      <c r="O12" s="477"/>
    </row>
    <row r="13" spans="1:17" s="465" customFormat="1" ht="13.8">
      <c r="A13" s="43" t="s">
        <v>83</v>
      </c>
      <c r="B13" s="464" t="s">
        <v>89</v>
      </c>
      <c r="C13" s="44"/>
      <c r="D13" s="44"/>
      <c r="E13" s="44"/>
      <c r="F13" s="44"/>
      <c r="G13" s="44"/>
      <c r="I13" s="505" t="s">
        <v>83</v>
      </c>
      <c r="J13" s="506" t="str">
        <f>CONCATENATE("Catégorie de logements en ",'Aides traitements'!$I$11)</f>
        <v>Catégorie de logements en 2020</v>
      </c>
      <c r="K13" s="507"/>
      <c r="L13" s="477"/>
      <c r="M13" s="477"/>
      <c r="N13" s="477"/>
      <c r="O13" s="477"/>
      <c r="Q13" s="55"/>
    </row>
    <row r="14" spans="1:17" s="465" customFormat="1" ht="15.6">
      <c r="A14" s="471" t="s">
        <v>667</v>
      </c>
      <c r="B14" s="335"/>
      <c r="C14" s="44"/>
      <c r="D14" s="44"/>
      <c r="E14" s="44"/>
      <c r="F14" s="44"/>
      <c r="G14" s="44"/>
      <c r="I14" s="505" t="s">
        <v>83</v>
      </c>
      <c r="J14" s="506" t="str">
        <f>CONCATENATE("Typologie du parc de logements en ",'Aides traitements'!$I$11)</f>
        <v>Typologie du parc de logements en 2020</v>
      </c>
      <c r="K14" s="507"/>
      <c r="L14" s="477"/>
      <c r="M14" s="477"/>
      <c r="N14" s="477"/>
      <c r="O14" s="477"/>
    </row>
    <row r="15" spans="1:17" s="465" customFormat="1" ht="15.6">
      <c r="A15" s="43" t="s">
        <v>83</v>
      </c>
      <c r="B15" s="464" t="s">
        <v>718</v>
      </c>
      <c r="C15" s="44"/>
      <c r="D15" s="44"/>
      <c r="E15" s="44"/>
      <c r="F15" s="44"/>
      <c r="G15" s="44"/>
      <c r="I15" s="504" t="s">
        <v>250</v>
      </c>
      <c r="J15" s="473"/>
      <c r="K15" s="478"/>
      <c r="L15" s="478"/>
      <c r="M15" s="478"/>
      <c r="N15" s="478"/>
      <c r="O15" s="478"/>
    </row>
    <row r="16" spans="1:17" ht="13.8">
      <c r="A16" s="43" t="s">
        <v>83</v>
      </c>
      <c r="B16" s="464" t="s">
        <v>668</v>
      </c>
      <c r="C16" s="44"/>
      <c r="D16" s="44"/>
      <c r="E16" s="44"/>
      <c r="F16" s="44"/>
      <c r="G16" s="44"/>
      <c r="I16" s="505" t="s">
        <v>83</v>
      </c>
      <c r="J16" s="506" t="str">
        <f>CONCATENATE("Évolution du parc des résidences principales depuis"," ",'Aides traitements'!I9)</f>
        <v>Évolution du parc des résidences principales depuis 2009</v>
      </c>
      <c r="K16" s="477"/>
      <c r="L16" s="477"/>
      <c r="M16" s="477"/>
      <c r="N16" s="477"/>
      <c r="O16" s="477"/>
    </row>
    <row r="17" spans="1:15" ht="15.6">
      <c r="A17" s="471" t="s">
        <v>252</v>
      </c>
      <c r="B17" s="335"/>
      <c r="C17" s="44"/>
      <c r="D17" s="44"/>
      <c r="E17" s="44"/>
      <c r="F17" s="44"/>
      <c r="G17" s="44"/>
      <c r="I17" s="505" t="s">
        <v>83</v>
      </c>
      <c r="J17" s="506" t="str">
        <f>CONCATENATE("Taille des résidences principales en ",'Aides traitements'!$I$11)</f>
        <v>Taille des résidences principales en 2020</v>
      </c>
      <c r="K17" s="477"/>
      <c r="L17" s="477"/>
      <c r="M17" s="477"/>
      <c r="N17" s="477"/>
      <c r="O17" s="477"/>
    </row>
    <row r="18" spans="1:15" ht="13.8">
      <c r="A18" s="43" t="s">
        <v>83</v>
      </c>
      <c r="B18" s="464" t="str">
        <f>CONCATENATE("Catégorie socioprofessionnelle des personnes âgées de 15 ans ou plus en ",'Aides traitements'!$I$11)</f>
        <v>Catégorie socioprofessionnelle des personnes âgées de 15 ans ou plus en 2020</v>
      </c>
      <c r="C18" s="44"/>
      <c r="D18" s="44"/>
      <c r="E18" s="44"/>
      <c r="F18" s="44"/>
      <c r="G18" s="44"/>
      <c r="I18" s="505" t="s">
        <v>83</v>
      </c>
      <c r="J18" s="506" t="str">
        <f>CONCATENATE("Statut d'occupation des résidences principales en ",'Aides traitements'!$I$11)</f>
        <v>Statut d'occupation des résidences principales en 2020</v>
      </c>
      <c r="K18" s="477"/>
      <c r="L18" s="477"/>
      <c r="M18" s="477"/>
      <c r="N18" s="477"/>
      <c r="O18" s="477"/>
    </row>
    <row r="19" spans="1:15" ht="13.8">
      <c r="H19" s="465"/>
      <c r="I19" s="505" t="s">
        <v>83</v>
      </c>
      <c r="J19" s="506" t="str">
        <f>CONCATENATE("Ancienneté d'emménagement en ",'Aides traitements'!$I$11)</f>
        <v>Ancienneté d'emménagement en 2020</v>
      </c>
      <c r="K19" s="477"/>
      <c r="L19" s="477"/>
      <c r="M19" s="477"/>
      <c r="N19" s="477"/>
      <c r="O19" s="477"/>
    </row>
    <row r="20" spans="1:15" s="465" customFormat="1" ht="15.6">
      <c r="A20" s="499" t="s">
        <v>669</v>
      </c>
      <c r="B20" s="472"/>
      <c r="C20" s="453"/>
      <c r="D20" s="454"/>
      <c r="E20" s="454"/>
      <c r="F20" s="454"/>
      <c r="G20" s="454"/>
      <c r="I20" s="505" t="s">
        <v>83</v>
      </c>
      <c r="J20" s="506" t="str">
        <f>CONCATENATE("Période d'achèvement des résidences principales en ",'Aides traitements'!$I$11)</f>
        <v>Période d'achèvement des résidences principales en 2020</v>
      </c>
      <c r="K20" s="477"/>
      <c r="L20" s="477"/>
      <c r="M20" s="477"/>
      <c r="N20" s="477"/>
      <c r="O20" s="477"/>
    </row>
    <row r="21" spans="1:15" s="465" customFormat="1" ht="14.4">
      <c r="A21" s="48"/>
      <c r="B21" s="453"/>
      <c r="C21" s="453"/>
      <c r="D21" s="454"/>
      <c r="E21" s="454"/>
      <c r="F21" s="454"/>
      <c r="G21" s="454"/>
      <c r="H21"/>
      <c r="I21" s="505" t="s">
        <v>83</v>
      </c>
      <c r="J21" s="506" t="str">
        <f>CONCATENATE("Équipement automobile des ménages en ",'Aides traitements'!$I$11)</f>
        <v>Équipement automobile des ménages en 2020</v>
      </c>
      <c r="K21" s="477"/>
      <c r="L21" s="477"/>
      <c r="M21" s="477"/>
      <c r="N21" s="477"/>
      <c r="O21" s="477"/>
    </row>
    <row r="22" spans="1:15" ht="13.8">
      <c r="A22" s="1392" t="s">
        <v>245</v>
      </c>
      <c r="B22" s="1392"/>
      <c r="C22" s="1392"/>
      <c r="D22" s="455"/>
      <c r="E22" s="455"/>
      <c r="F22" s="455"/>
      <c r="G22" s="455"/>
      <c r="I22" s="6"/>
      <c r="J22" s="508"/>
      <c r="K22" s="6"/>
      <c r="L22" s="6"/>
      <c r="M22" s="6"/>
      <c r="N22" s="6"/>
      <c r="O22" s="6"/>
    </row>
    <row r="23" spans="1:15" ht="15.6">
      <c r="A23" s="49" t="s">
        <v>83</v>
      </c>
      <c r="B23" s="466" t="s">
        <v>460</v>
      </c>
      <c r="C23" s="50"/>
      <c r="D23" s="50"/>
      <c r="E23" s="50"/>
      <c r="F23" s="50"/>
      <c r="G23" s="50"/>
      <c r="I23" s="502" t="s">
        <v>673</v>
      </c>
      <c r="J23" s="479"/>
      <c r="K23" s="479"/>
      <c r="L23" s="479"/>
      <c r="M23" s="479"/>
      <c r="N23" s="479"/>
      <c r="O23" s="479"/>
    </row>
    <row r="24" spans="1:15" ht="14.4">
      <c r="A24" s="49" t="s">
        <v>83</v>
      </c>
      <c r="B24" s="466" t="s">
        <v>461</v>
      </c>
      <c r="C24" s="50"/>
      <c r="D24" s="50"/>
      <c r="E24" s="50"/>
      <c r="F24" s="50"/>
      <c r="G24" s="50"/>
      <c r="H24" s="465"/>
      <c r="I24" s="480"/>
      <c r="J24" s="479"/>
      <c r="K24" s="479"/>
      <c r="L24" s="479"/>
      <c r="M24" s="479"/>
      <c r="N24" s="479"/>
      <c r="O24" s="479"/>
    </row>
    <row r="25" spans="1:15" s="465" customFormat="1" ht="15.6">
      <c r="A25" s="1392" t="s">
        <v>190</v>
      </c>
      <c r="B25" s="1392"/>
      <c r="C25" s="1392"/>
      <c r="D25" s="455"/>
      <c r="E25" s="455"/>
      <c r="F25" s="455"/>
      <c r="G25" s="455"/>
      <c r="H25"/>
      <c r="I25" s="509" t="s">
        <v>248</v>
      </c>
      <c r="J25" s="512"/>
      <c r="K25" s="481"/>
      <c r="L25" s="482"/>
      <c r="M25" s="482"/>
      <c r="N25" s="482"/>
      <c r="O25" s="482"/>
    </row>
    <row r="26" spans="1:15" ht="13.8">
      <c r="A26" s="49" t="s">
        <v>83</v>
      </c>
      <c r="B26" s="466" t="s">
        <v>462</v>
      </c>
      <c r="C26" s="50"/>
      <c r="D26" s="50"/>
      <c r="E26" s="50"/>
      <c r="F26" s="50"/>
      <c r="G26" s="50"/>
      <c r="I26" s="510" t="s">
        <v>83</v>
      </c>
      <c r="J26" s="511" t="str">
        <f>CONCATENATE("Type d'activité de la population âgée de 15 à 64 ans en ",'Aides traitements'!$I$11)</f>
        <v>Type d'activité de la population âgée de 15 à 64 ans en 2020</v>
      </c>
      <c r="K26" s="482"/>
      <c r="L26" s="482"/>
      <c r="M26" s="482"/>
      <c r="N26" s="482"/>
      <c r="O26" s="482"/>
    </row>
    <row r="27" spans="1:15" ht="13.8">
      <c r="A27" s="49" t="s">
        <v>83</v>
      </c>
      <c r="B27" s="466" t="s">
        <v>463</v>
      </c>
      <c r="C27" s="50"/>
      <c r="D27" s="50"/>
      <c r="E27" s="50"/>
      <c r="F27" s="50"/>
      <c r="G27" s="50"/>
      <c r="I27" s="510" t="s">
        <v>83</v>
      </c>
      <c r="J27" s="511" t="str">
        <f>CONCATENATE("Catégorie socioprofessionnelle des actifs occupés âgés de 15 à 64 ans en ",'Aides traitements'!$I$11)</f>
        <v>Catégorie socioprofessionnelle des actifs occupés âgés de 15 à 64 ans en 2020</v>
      </c>
      <c r="K27" s="482"/>
      <c r="L27" s="482"/>
      <c r="M27" s="482"/>
      <c r="N27" s="482"/>
      <c r="O27" s="482"/>
    </row>
    <row r="28" spans="1:15" ht="13.8">
      <c r="A28" s="1392" t="s">
        <v>247</v>
      </c>
      <c r="B28" s="1392"/>
      <c r="C28" s="1392"/>
      <c r="D28" s="50"/>
      <c r="E28" s="50"/>
      <c r="F28" s="50"/>
      <c r="G28" s="50"/>
      <c r="I28" s="510" t="s">
        <v>83</v>
      </c>
      <c r="J28" s="511" t="str">
        <f>CONCATENATE("Statut des actifs ayant un emploi âgés de 15 ans ou plus en ",'Aides traitements'!$I$11)</f>
        <v>Statut des actifs ayant un emploi âgés de 15 ans ou plus en 2020</v>
      </c>
      <c r="K28" s="482"/>
      <c r="L28" s="482"/>
      <c r="M28" s="482"/>
      <c r="N28" s="482"/>
      <c r="O28" s="482"/>
    </row>
    <row r="29" spans="1:15" ht="13.8">
      <c r="A29" s="49" t="s">
        <v>83</v>
      </c>
      <c r="B29" s="466" t="s">
        <v>464</v>
      </c>
      <c r="C29" s="50"/>
      <c r="D29" s="50"/>
      <c r="E29" s="50"/>
      <c r="F29" s="50"/>
      <c r="G29" s="50"/>
      <c r="I29" s="510" t="s">
        <v>83</v>
      </c>
      <c r="J29" s="513" t="str">
        <f>CONCATENATE("Statut et condition d'emploi en ",'Aides traitements'!$I$11)</f>
        <v>Statut et condition d'emploi en 2020</v>
      </c>
      <c r="K29" s="482"/>
      <c r="L29" s="482"/>
      <c r="M29" s="482"/>
      <c r="N29" s="482"/>
      <c r="O29" s="482"/>
    </row>
    <row r="30" spans="1:15" ht="13.8">
      <c r="A30" s="49" t="s">
        <v>83</v>
      </c>
      <c r="B30" s="466" t="s">
        <v>465</v>
      </c>
      <c r="C30" s="50"/>
      <c r="D30" s="50"/>
      <c r="E30" s="50"/>
      <c r="F30" s="50"/>
      <c r="G30" s="50"/>
      <c r="I30" s="510" t="s">
        <v>83</v>
      </c>
      <c r="J30" s="509" t="str">
        <f>CONCATENATE("Focus sur la 'précarité' des salariés en ",'Aides traitements'!$I$11)</f>
        <v>Focus sur la 'précarité' des salariés en 2020</v>
      </c>
      <c r="K30" s="481"/>
      <c r="L30" s="482"/>
      <c r="M30" s="482"/>
      <c r="N30" s="482"/>
      <c r="O30" s="482"/>
    </row>
    <row r="31" spans="1:15" ht="13.8">
      <c r="A31" s="1392" t="s">
        <v>466</v>
      </c>
      <c r="B31" s="1392"/>
      <c r="C31" s="1392"/>
      <c r="D31" s="1392"/>
      <c r="E31" s="50"/>
      <c r="F31" s="50"/>
      <c r="G31" s="50"/>
      <c r="I31" s="1009"/>
      <c r="J31" s="1010"/>
      <c r="K31" s="1011"/>
      <c r="L31" s="1012"/>
      <c r="M31" s="1012"/>
      <c r="N31" s="1012"/>
      <c r="O31" s="1012"/>
    </row>
    <row r="32" spans="1:15" ht="15.6">
      <c r="A32" s="49" t="s">
        <v>83</v>
      </c>
      <c r="B32" s="466" t="str">
        <f>CONCATENATE("Répartition de la population par tranches d'âges en ",'Aides traitements'!$I$11)</f>
        <v>Répartition de la population par tranches d'âges en 2020</v>
      </c>
      <c r="C32" s="50"/>
      <c r="D32" s="50"/>
      <c r="E32" s="50"/>
      <c r="F32" s="50"/>
      <c r="G32" s="50"/>
      <c r="I32" s="522" t="s">
        <v>675</v>
      </c>
      <c r="J32" s="523"/>
      <c r="K32" s="523"/>
      <c r="L32" s="523"/>
      <c r="M32" s="523"/>
      <c r="N32" s="523"/>
      <c r="O32" s="523"/>
    </row>
    <row r="33" spans="1:15" ht="14.4">
      <c r="A33" s="49" t="s">
        <v>83</v>
      </c>
      <c r="B33" s="466" t="s">
        <v>470</v>
      </c>
      <c r="C33" s="50"/>
      <c r="D33" s="50"/>
      <c r="E33" s="50"/>
      <c r="F33" s="50"/>
      <c r="G33" s="50"/>
      <c r="I33" s="524"/>
      <c r="J33" s="523"/>
      <c r="K33" s="523"/>
      <c r="L33" s="523"/>
      <c r="M33" s="523"/>
      <c r="N33" s="523"/>
      <c r="O33" s="523"/>
    </row>
    <row r="34" spans="1:15" ht="14.4">
      <c r="A34" s="1392" t="s">
        <v>381</v>
      </c>
      <c r="B34" s="1392"/>
      <c r="C34" s="1392"/>
      <c r="D34" s="1392"/>
      <c r="E34" s="50"/>
      <c r="F34" s="50"/>
      <c r="G34" s="50"/>
      <c r="I34" s="527" t="s">
        <v>283</v>
      </c>
      <c r="J34" s="525"/>
      <c r="K34" s="525"/>
      <c r="L34" s="523"/>
      <c r="M34" s="523"/>
      <c r="N34" s="523"/>
      <c r="O34" s="523"/>
    </row>
    <row r="35" spans="1:15" ht="13.8">
      <c r="I35" s="528" t="s">
        <v>83</v>
      </c>
      <c r="J35" s="529" t="str">
        <f>CONCATENATE("Taux de scolarisation selon l'âge en ",'Aides traitements'!$I$11)</f>
        <v>Taux de scolarisation selon l'âge en 2020</v>
      </c>
      <c r="K35" s="526"/>
      <c r="L35" s="526"/>
      <c r="M35" s="526"/>
      <c r="N35" s="526"/>
      <c r="O35" s="526"/>
    </row>
    <row r="36" spans="1:15" ht="15.6">
      <c r="A36" s="500" t="s">
        <v>670</v>
      </c>
      <c r="B36" s="456"/>
      <c r="C36" s="456"/>
      <c r="D36" s="456"/>
      <c r="E36" s="456"/>
      <c r="F36" s="456"/>
      <c r="G36" s="456"/>
      <c r="I36" s="527" t="s">
        <v>284</v>
      </c>
      <c r="J36" s="526"/>
      <c r="K36" s="526"/>
      <c r="L36" s="526"/>
      <c r="M36" s="526"/>
      <c r="N36" s="526"/>
      <c r="O36" s="526"/>
    </row>
    <row r="37" spans="1:15" ht="14.4">
      <c r="A37" s="457"/>
      <c r="B37" s="456"/>
      <c r="C37" s="456"/>
      <c r="D37" s="456"/>
      <c r="E37" s="456"/>
      <c r="F37" s="456"/>
      <c r="G37" s="456"/>
      <c r="I37" s="528" t="s">
        <v>83</v>
      </c>
      <c r="J37" s="529" t="str">
        <f>CONCATENATE("Diplôme le plus élevé obtenu de la population non scolarisée en ",'Aides traitements'!$I$11)</f>
        <v>Diplôme le plus élevé obtenu de la population non scolarisée en 2020</v>
      </c>
      <c r="K37" s="526"/>
      <c r="L37" s="526"/>
      <c r="M37" s="526"/>
      <c r="N37" s="526"/>
      <c r="O37" s="526"/>
    </row>
    <row r="38" spans="1:15" ht="14.4">
      <c r="A38" s="469" t="s">
        <v>455</v>
      </c>
      <c r="B38" s="458"/>
      <c r="C38" s="458"/>
      <c r="D38" s="456"/>
      <c r="E38" s="456"/>
      <c r="F38" s="456"/>
      <c r="G38" s="456"/>
    </row>
    <row r="39" spans="1:15" ht="15.6">
      <c r="A39" s="459" t="s">
        <v>83</v>
      </c>
      <c r="B39" s="468" t="str">
        <f>CONCATENATE("Les foyers fiscaux imposés en"," ",'Aides traitements'!I11)</f>
        <v>Les foyers fiscaux imposés en 2020</v>
      </c>
      <c r="C39" s="460"/>
      <c r="D39" s="460"/>
      <c r="E39" s="460"/>
      <c r="F39" s="460"/>
      <c r="G39" s="460"/>
      <c r="I39" s="514" t="s">
        <v>674</v>
      </c>
      <c r="J39" s="515"/>
      <c r="K39" s="515"/>
      <c r="L39" s="515"/>
      <c r="M39" s="515"/>
      <c r="N39" s="515"/>
      <c r="O39" s="515"/>
    </row>
    <row r="40" spans="1:15" ht="13.8">
      <c r="A40" s="156"/>
      <c r="B40" s="156"/>
      <c r="C40" s="156"/>
      <c r="D40" s="156"/>
      <c r="E40" s="156"/>
      <c r="F40" s="156"/>
      <c r="G40" s="156"/>
      <c r="I40" s="516"/>
      <c r="J40" s="515"/>
      <c r="K40" s="515"/>
      <c r="L40" s="515"/>
      <c r="M40" s="515"/>
      <c r="N40" s="515"/>
      <c r="O40" s="515"/>
    </row>
    <row r="41" spans="1:15" ht="15.6">
      <c r="A41" s="501" t="s">
        <v>671</v>
      </c>
      <c r="B41" s="45"/>
      <c r="C41" s="157"/>
      <c r="D41" s="157"/>
      <c r="E41" s="157"/>
      <c r="F41" s="157"/>
      <c r="G41" s="157"/>
      <c r="I41" s="517" t="s">
        <v>249</v>
      </c>
      <c r="J41" s="518"/>
      <c r="K41" s="518"/>
      <c r="L41" s="515"/>
      <c r="M41" s="515"/>
      <c r="N41" s="515"/>
      <c r="O41" s="515"/>
    </row>
    <row r="42" spans="1:15" ht="14.4">
      <c r="A42" s="159"/>
      <c r="B42" s="45"/>
      <c r="C42" s="157"/>
      <c r="D42" s="157"/>
      <c r="E42" s="157"/>
      <c r="F42" s="157"/>
      <c r="G42" s="157"/>
      <c r="I42" s="519" t="s">
        <v>83</v>
      </c>
      <c r="J42" s="520" t="str">
        <f>CONCATENATE("Mode de transport principal utilisé pour aller travailler en ",'Aides traitements'!$I$11)</f>
        <v>Mode de transport principal utilisé pour aller travailler en 2020</v>
      </c>
      <c r="K42" s="521"/>
      <c r="L42" s="521"/>
      <c r="M42" s="521"/>
      <c r="N42" s="521"/>
      <c r="O42" s="521"/>
    </row>
    <row r="43" spans="1:15" ht="14.4">
      <c r="A43" s="470" t="s">
        <v>246</v>
      </c>
      <c r="B43" s="45"/>
      <c r="C43" s="157"/>
      <c r="D43" s="157"/>
      <c r="E43" s="157"/>
      <c r="F43" s="157"/>
      <c r="G43" s="157"/>
      <c r="I43" s="519" t="s">
        <v>83</v>
      </c>
      <c r="J43" s="520" t="s">
        <v>708</v>
      </c>
      <c r="K43" s="521"/>
      <c r="L43" s="521"/>
      <c r="M43" s="521"/>
      <c r="N43" s="521"/>
      <c r="O43" s="521"/>
    </row>
    <row r="44" spans="1:15" ht="13.8">
      <c r="A44" s="46" t="s">
        <v>83</v>
      </c>
      <c r="B44" s="467" t="str">
        <f>CONCATENATE("Nombre de ménages depuis"," ",'Aides traitements'!I9)</f>
        <v>Nombre de ménages depuis 2009</v>
      </c>
      <c r="C44" s="158"/>
      <c r="D44" s="158"/>
      <c r="E44" s="158"/>
      <c r="F44" s="158"/>
      <c r="G44" s="158"/>
    </row>
    <row r="45" spans="1:15" ht="13.8">
      <c r="A45" s="46" t="s">
        <v>83</v>
      </c>
      <c r="B45" s="467" t="str">
        <f>CONCATENATE("Population des ménages depuis"," ",'Aides traitements'!I9)</f>
        <v>Population des ménages depuis 2009</v>
      </c>
      <c r="C45" s="158"/>
      <c r="D45" s="158"/>
      <c r="E45" s="158"/>
      <c r="F45" s="158"/>
      <c r="G45" s="158"/>
    </row>
    <row r="46" spans="1:15" ht="13.8">
      <c r="A46" s="46" t="s">
        <v>83</v>
      </c>
      <c r="B46" s="467" t="str">
        <f>CONCATENATE("Taille moyenne des ménages depuis"," ",'Aides traitements'!I9)</f>
        <v>Taille moyenne des ménages depuis 2009</v>
      </c>
      <c r="C46" s="158"/>
      <c r="D46" s="158"/>
      <c r="E46" s="158"/>
      <c r="F46" s="158"/>
      <c r="G46" s="158"/>
    </row>
    <row r="47" spans="1:15" ht="13.8">
      <c r="A47" s="46" t="s">
        <v>83</v>
      </c>
      <c r="B47" s="467" t="str">
        <f>CONCATENATE("Structure familiale des ménages en ",'Aides traitements'!$I$11)</f>
        <v>Structure familiale des ménages en 2020</v>
      </c>
      <c r="C47" s="158"/>
      <c r="D47" s="158"/>
      <c r="E47" s="158"/>
      <c r="F47" s="158"/>
      <c r="G47" s="158"/>
    </row>
    <row r="48" spans="1:15" ht="13.8">
      <c r="A48" s="46" t="s">
        <v>83</v>
      </c>
      <c r="B48" s="467" t="str">
        <f>CONCATENATE("Âge des personnes vivant seules en ",'Aides traitements'!$I$11)</f>
        <v>Âge des personnes vivant seules en 2020</v>
      </c>
      <c r="C48" s="158"/>
      <c r="D48" s="158"/>
      <c r="E48" s="158"/>
      <c r="F48" s="158"/>
      <c r="G48" s="158"/>
    </row>
    <row r="49" spans="1:15" ht="13.8">
      <c r="A49" s="470" t="s">
        <v>240</v>
      </c>
      <c r="B49" s="47"/>
      <c r="C49" s="158"/>
      <c r="D49" s="158"/>
      <c r="E49" s="158"/>
      <c r="F49" s="158"/>
      <c r="G49" s="158"/>
    </row>
    <row r="50" spans="1:15" ht="13.8">
      <c r="A50" s="46" t="s">
        <v>83</v>
      </c>
      <c r="B50" s="467" t="str">
        <f>CONCATENATE("Familles selon le nombre d'enfants âgés de moins de 25 ans en ",'Aides traitements'!$I$11)</f>
        <v>Familles selon le nombre d'enfants âgés de moins de 25 ans en 2020</v>
      </c>
      <c r="C50" s="158"/>
      <c r="D50" s="158"/>
      <c r="E50" s="158"/>
      <c r="F50" s="158"/>
      <c r="G50" s="158"/>
    </row>
    <row r="55" spans="1:15">
      <c r="I55" s="156"/>
      <c r="J55" s="156"/>
      <c r="K55" s="156"/>
      <c r="L55" s="156"/>
      <c r="M55" s="156"/>
      <c r="N55" s="156"/>
      <c r="O55" s="156"/>
    </row>
  </sheetData>
  <mergeCells count="6">
    <mergeCell ref="K2:O6"/>
    <mergeCell ref="A34:D34"/>
    <mergeCell ref="A22:C22"/>
    <mergeCell ref="A28:C28"/>
    <mergeCell ref="A31:D31"/>
    <mergeCell ref="A25:C25"/>
  </mergeCells>
  <pageMargins left="0.51181102362204722" right="0" top="0" bottom="0" header="0.19685039370078741" footer="0.19685039370078741"/>
  <pageSetup scale="7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Drop Down 1">
              <controlPr defaultSize="0" autoLine="0" autoPict="0">
                <anchor moveWithCells="1">
                  <from>
                    <xdr:col>1</xdr:col>
                    <xdr:colOff>106680</xdr:colOff>
                    <xdr:row>2</xdr:row>
                    <xdr:rowOff>106680</xdr:rowOff>
                  </from>
                  <to>
                    <xdr:col>3</xdr:col>
                    <xdr:colOff>441960</xdr:colOff>
                    <xdr:row>4</xdr:row>
                    <xdr:rowOff>0</xdr:rowOff>
                  </to>
                </anchor>
              </controlPr>
            </control>
          </mc:Choice>
        </mc:AlternateContent>
        <mc:AlternateContent xmlns:mc="http://schemas.openxmlformats.org/markup-compatibility/2006">
          <mc:Choice Requires="x14">
            <control shapeId="16386" r:id="rId5" name="Drop Down 2">
              <controlPr defaultSize="0" autoLine="0" autoPict="0">
                <anchor moveWithCells="1">
                  <from>
                    <xdr:col>6</xdr:col>
                    <xdr:colOff>609600</xdr:colOff>
                    <xdr:row>2</xdr:row>
                    <xdr:rowOff>106680</xdr:rowOff>
                  </from>
                  <to>
                    <xdr:col>8</xdr:col>
                    <xdr:colOff>289560</xdr:colOff>
                    <xdr:row>4</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topLeftCell="B1" zoomScale="90" zoomScaleNormal="90" workbookViewId="0">
      <selection activeCell="M11" sqref="M11"/>
    </sheetView>
  </sheetViews>
  <sheetFormatPr baseColWidth="10" defaultRowHeight="13.2"/>
  <sheetData>
    <row r="1" spans="1:16">
      <c r="A1" s="14"/>
      <c r="K1" s="14"/>
      <c r="L1" s="14"/>
      <c r="M1" s="14"/>
      <c r="N1" s="14"/>
      <c r="O1" s="14"/>
      <c r="P1" s="14"/>
    </row>
    <row r="2" spans="1:16">
      <c r="A2" s="14"/>
      <c r="K2" s="14"/>
      <c r="L2" s="14"/>
      <c r="M2" s="14"/>
      <c r="N2" s="14"/>
      <c r="O2" s="14"/>
      <c r="P2" s="14"/>
    </row>
    <row r="3" spans="1:16">
      <c r="A3" s="14"/>
      <c r="K3" s="14"/>
      <c r="L3" s="14"/>
      <c r="M3" s="14"/>
      <c r="N3" s="14"/>
      <c r="O3" s="14"/>
      <c r="P3" s="14"/>
    </row>
    <row r="4" spans="1:16">
      <c r="A4" s="14"/>
      <c r="K4" s="14"/>
      <c r="L4" s="14"/>
      <c r="M4" s="14"/>
      <c r="N4" s="14"/>
      <c r="O4" s="14"/>
      <c r="P4" s="14"/>
    </row>
    <row r="5" spans="1:16">
      <c r="A5" s="14"/>
      <c r="K5" s="14"/>
      <c r="L5" s="14"/>
      <c r="M5" s="14"/>
      <c r="N5" s="14"/>
      <c r="O5" s="14"/>
      <c r="P5" s="14"/>
    </row>
    <row r="6" spans="1:16">
      <c r="A6" s="14"/>
      <c r="K6" s="14"/>
      <c r="L6" s="14"/>
      <c r="M6" s="14"/>
      <c r="N6" s="14"/>
      <c r="O6" s="14"/>
      <c r="P6" s="14"/>
    </row>
    <row r="7" spans="1:16">
      <c r="A7" s="14"/>
      <c r="K7" s="14"/>
      <c r="L7" s="14"/>
      <c r="M7" s="14"/>
      <c r="N7" s="14"/>
      <c r="O7" s="14"/>
      <c r="P7" s="14"/>
    </row>
    <row r="8" spans="1:16">
      <c r="A8" s="14"/>
      <c r="K8" s="14"/>
      <c r="L8" s="14"/>
      <c r="M8" s="14"/>
      <c r="N8" s="14"/>
      <c r="O8" s="14"/>
      <c r="P8" s="14"/>
    </row>
    <row r="9" spans="1:16">
      <c r="A9" s="14"/>
      <c r="K9" s="14"/>
      <c r="L9" s="14"/>
      <c r="M9" s="14"/>
      <c r="N9" s="14"/>
      <c r="O9" s="14"/>
      <c r="P9" s="14"/>
    </row>
    <row r="10" spans="1:16">
      <c r="A10" s="14"/>
      <c r="K10" s="14"/>
      <c r="L10" s="14"/>
      <c r="M10" s="14"/>
      <c r="N10" s="14"/>
      <c r="O10" s="14"/>
      <c r="P10" s="14"/>
    </row>
    <row r="11" spans="1:16">
      <c r="A11" s="14"/>
      <c r="K11" s="14"/>
      <c r="L11" s="14"/>
      <c r="M11" s="14"/>
      <c r="N11" s="14"/>
      <c r="O11" s="14"/>
      <c r="P11" s="14"/>
    </row>
    <row r="12" spans="1:16">
      <c r="A12" s="14"/>
      <c r="K12" s="14"/>
      <c r="L12" s="14"/>
      <c r="M12" s="14"/>
      <c r="N12" s="14"/>
      <c r="O12" s="14"/>
      <c r="P12" s="14"/>
    </row>
    <row r="13" spans="1:16">
      <c r="A13" s="14"/>
      <c r="K13" s="14"/>
      <c r="L13" s="14"/>
      <c r="M13" s="14"/>
      <c r="N13" s="14"/>
      <c r="O13" s="14"/>
      <c r="P13" s="14"/>
    </row>
    <row r="14" spans="1:16">
      <c r="A14" s="14"/>
      <c r="K14" s="14"/>
      <c r="L14" s="14"/>
      <c r="M14" s="14"/>
      <c r="N14" s="14"/>
      <c r="O14" s="14"/>
      <c r="P14" s="14"/>
    </row>
    <row r="15" spans="1:16">
      <c r="A15" s="14"/>
      <c r="K15" s="14"/>
      <c r="L15" s="14"/>
      <c r="M15" s="14"/>
      <c r="N15" s="14"/>
      <c r="O15" s="14"/>
      <c r="P15" s="14"/>
    </row>
    <row r="16" spans="1:16">
      <c r="A16" s="14"/>
      <c r="K16" s="14"/>
      <c r="L16" s="14"/>
      <c r="M16" s="14"/>
      <c r="N16" s="14"/>
      <c r="O16" s="14"/>
      <c r="P16" s="14"/>
    </row>
    <row r="17" spans="1:16">
      <c r="A17" s="14"/>
      <c r="K17" s="14"/>
      <c r="L17" s="14"/>
      <c r="M17" s="14"/>
      <c r="N17" s="14"/>
      <c r="O17" s="14"/>
      <c r="P17" s="14"/>
    </row>
    <row r="18" spans="1:16">
      <c r="A18" s="14"/>
      <c r="K18" s="14"/>
      <c r="L18" s="14"/>
      <c r="M18" s="14"/>
      <c r="N18" s="14"/>
      <c r="O18" s="14"/>
      <c r="P18" s="14"/>
    </row>
    <row r="19" spans="1:16">
      <c r="A19" s="14"/>
      <c r="K19" s="14"/>
      <c r="L19" s="14"/>
      <c r="M19" s="14"/>
      <c r="N19" s="14"/>
      <c r="O19" s="14"/>
      <c r="P19" s="14"/>
    </row>
    <row r="20" spans="1:16">
      <c r="A20" s="14"/>
      <c r="K20" s="14"/>
      <c r="L20" s="14"/>
      <c r="M20" s="14"/>
      <c r="N20" s="14"/>
      <c r="O20" s="14"/>
      <c r="P20" s="14"/>
    </row>
    <row r="21" spans="1:16">
      <c r="A21" s="14"/>
      <c r="K21" s="14"/>
      <c r="L21" s="14"/>
      <c r="M21" s="14"/>
      <c r="N21" s="14"/>
      <c r="O21" s="14"/>
      <c r="P21" s="14"/>
    </row>
    <row r="22" spans="1:16">
      <c r="A22" s="14"/>
      <c r="K22" s="14"/>
      <c r="L22" s="14"/>
      <c r="M22" s="14"/>
      <c r="N22" s="14"/>
      <c r="O22" s="14"/>
      <c r="P22" s="14"/>
    </row>
    <row r="23" spans="1:16">
      <c r="A23" s="14"/>
      <c r="K23" s="14"/>
      <c r="L23" s="14"/>
      <c r="M23" s="14"/>
      <c r="N23" s="14"/>
      <c r="O23" s="14"/>
      <c r="P23" s="14"/>
    </row>
    <row r="24" spans="1:16">
      <c r="A24" s="14"/>
      <c r="K24" s="14"/>
      <c r="L24" s="14"/>
      <c r="M24" s="14"/>
      <c r="N24" s="14"/>
      <c r="O24" s="14"/>
      <c r="P24" s="14"/>
    </row>
    <row r="25" spans="1:16">
      <c r="A25" s="14"/>
      <c r="K25" s="14"/>
      <c r="L25" s="14"/>
      <c r="M25" s="14"/>
      <c r="N25" s="14"/>
      <c r="O25" s="14"/>
      <c r="P25" s="14"/>
    </row>
    <row r="26" spans="1:16">
      <c r="A26" s="14"/>
      <c r="K26" s="14"/>
      <c r="L26" s="14"/>
      <c r="M26" s="14"/>
      <c r="N26" s="14"/>
      <c r="O26" s="14"/>
      <c r="P26" s="14"/>
    </row>
    <row r="27" spans="1:16">
      <c r="A27" s="14"/>
      <c r="K27" s="14"/>
      <c r="L27" s="14"/>
      <c r="M27" s="14"/>
      <c r="N27" s="14"/>
      <c r="O27" s="14"/>
      <c r="P27" s="14"/>
    </row>
    <row r="28" spans="1:16">
      <c r="A28" s="14"/>
      <c r="K28" s="14"/>
      <c r="L28" s="14"/>
      <c r="M28" s="14"/>
      <c r="N28" s="14"/>
      <c r="O28" s="14"/>
      <c r="P28" s="14"/>
    </row>
    <row r="29" spans="1:16">
      <c r="A29" s="14"/>
      <c r="K29" s="14"/>
      <c r="L29" s="14"/>
      <c r="M29" s="14"/>
      <c r="N29" s="14"/>
      <c r="O29" s="14"/>
      <c r="P29" s="14"/>
    </row>
    <row r="30" spans="1:16">
      <c r="A30" s="14"/>
      <c r="K30" s="14"/>
      <c r="L30" s="14"/>
      <c r="M30" s="14"/>
      <c r="N30" s="14"/>
      <c r="O30" s="14"/>
      <c r="P30" s="14"/>
    </row>
    <row r="31" spans="1:16">
      <c r="A31" s="14"/>
      <c r="K31" s="14"/>
      <c r="L31" s="14"/>
      <c r="M31" s="14"/>
      <c r="N31" s="14"/>
      <c r="O31" s="14"/>
      <c r="P31" s="14"/>
    </row>
    <row r="32" spans="1:16">
      <c r="A32" s="14"/>
      <c r="K32" s="14"/>
      <c r="L32" s="14"/>
      <c r="M32" s="14"/>
      <c r="N32" s="14"/>
      <c r="O32" s="14"/>
      <c r="P32" s="14"/>
    </row>
    <row r="33" spans="1:16">
      <c r="A33" s="14"/>
      <c r="K33" s="14"/>
      <c r="L33" s="14"/>
      <c r="M33" s="14"/>
      <c r="N33" s="14"/>
      <c r="O33" s="14"/>
      <c r="P33" s="14"/>
    </row>
    <row r="34" spans="1:16">
      <c r="A34" s="14"/>
      <c r="K34" s="14"/>
      <c r="L34" s="14"/>
      <c r="M34" s="14"/>
      <c r="N34" s="14"/>
      <c r="O34" s="14"/>
      <c r="P34" s="14"/>
    </row>
    <row r="35" spans="1:16">
      <c r="A35" s="14"/>
      <c r="K35" s="14"/>
      <c r="L35" s="14"/>
      <c r="M35" s="14"/>
      <c r="N35" s="14"/>
      <c r="O35" s="14"/>
      <c r="P35" s="14"/>
    </row>
    <row r="36" spans="1:16">
      <c r="A36" s="14"/>
      <c r="K36" s="14"/>
      <c r="L36" s="14"/>
      <c r="M36" s="14"/>
      <c r="N36" s="14"/>
      <c r="O36" s="14"/>
      <c r="P36" s="14"/>
    </row>
    <row r="37" spans="1:16">
      <c r="A37" s="14"/>
      <c r="K37" s="14"/>
      <c r="L37" s="14"/>
      <c r="M37" s="14"/>
      <c r="N37" s="14"/>
      <c r="O37" s="14"/>
      <c r="P37" s="14"/>
    </row>
    <row r="38" spans="1:16">
      <c r="A38" s="14"/>
      <c r="K38" s="14"/>
      <c r="L38" s="14"/>
      <c r="M38" s="14"/>
      <c r="N38" s="14"/>
      <c r="O38" s="14"/>
      <c r="P38" s="14"/>
    </row>
    <row r="39" spans="1:16">
      <c r="A39" s="14"/>
      <c r="K39" s="14"/>
      <c r="L39" s="14"/>
      <c r="M39" s="14"/>
      <c r="N39" s="14"/>
      <c r="O39" s="14"/>
      <c r="P39" s="14"/>
    </row>
    <row r="40" spans="1:16">
      <c r="A40" s="14"/>
      <c r="K40" s="14"/>
      <c r="L40" s="14"/>
      <c r="M40" s="14"/>
      <c r="N40" s="14"/>
      <c r="O40" s="14"/>
      <c r="P40" s="14"/>
    </row>
    <row r="41" spans="1:16">
      <c r="A41" s="14"/>
      <c r="K41" s="14"/>
      <c r="L41" s="14"/>
      <c r="M41" s="14"/>
      <c r="N41" s="14"/>
      <c r="O41" s="14"/>
      <c r="P41" s="14"/>
    </row>
    <row r="42" spans="1:16">
      <c r="A42" s="14"/>
      <c r="K42" s="14"/>
      <c r="L42" s="14"/>
      <c r="M42" s="14"/>
      <c r="N42" s="14"/>
      <c r="O42" s="14"/>
      <c r="P42" s="14"/>
    </row>
    <row r="43" spans="1:16">
      <c r="A43" s="14"/>
      <c r="K43" s="14"/>
      <c r="L43" s="14"/>
      <c r="M43" s="14"/>
      <c r="N43" s="14"/>
      <c r="O43" s="14"/>
      <c r="P43" s="14"/>
    </row>
    <row r="44" spans="1:16">
      <c r="A44" s="14"/>
      <c r="K44" s="14"/>
      <c r="L44" s="14"/>
      <c r="M44" s="14"/>
      <c r="N44" s="14"/>
      <c r="O44" s="14"/>
      <c r="P44" s="14"/>
    </row>
    <row r="45" spans="1:16">
      <c r="A45" s="14"/>
      <c r="K45" s="14"/>
      <c r="L45" s="14"/>
      <c r="M45" s="14"/>
      <c r="N45" s="14"/>
      <c r="O45" s="14"/>
      <c r="P45" s="14"/>
    </row>
    <row r="46" spans="1:16">
      <c r="A46" s="14"/>
      <c r="K46" s="14"/>
      <c r="L46" s="14"/>
      <c r="M46" s="14"/>
      <c r="N46" s="14"/>
      <c r="O46" s="14"/>
      <c r="P46" s="14"/>
    </row>
    <row r="47" spans="1:16">
      <c r="A47" s="14"/>
      <c r="K47" s="14"/>
      <c r="L47" s="14"/>
      <c r="M47" s="14"/>
      <c r="N47" s="14"/>
      <c r="O47" s="14"/>
      <c r="P47" s="14"/>
    </row>
    <row r="48" spans="1:16">
      <c r="A48" s="14"/>
      <c r="K48" s="14"/>
      <c r="L48" s="14"/>
      <c r="M48" s="14"/>
      <c r="N48" s="14"/>
      <c r="O48" s="14"/>
      <c r="P48" s="14"/>
    </row>
    <row r="49" spans="1:16">
      <c r="A49" s="14"/>
      <c r="K49" s="14"/>
      <c r="L49" s="14"/>
      <c r="M49" s="14"/>
      <c r="N49" s="14"/>
      <c r="O49" s="14"/>
      <c r="P49" s="14"/>
    </row>
    <row r="50" spans="1:16">
      <c r="A50" s="14"/>
      <c r="K50" s="14"/>
      <c r="L50" s="14"/>
      <c r="M50" s="14"/>
      <c r="N50" s="14"/>
      <c r="O50" s="14"/>
      <c r="P50" s="14"/>
    </row>
    <row r="51" spans="1:16">
      <c r="A51" s="14"/>
      <c r="K51" s="14"/>
      <c r="L51" s="14"/>
      <c r="M51" s="14"/>
      <c r="N51" s="14"/>
      <c r="O51" s="14"/>
      <c r="P51" s="14"/>
    </row>
    <row r="52" spans="1:16">
      <c r="A52" s="14"/>
      <c r="K52" s="14"/>
      <c r="L52" s="14"/>
      <c r="M52" s="14"/>
      <c r="N52" s="14"/>
      <c r="O52" s="14"/>
      <c r="P52" s="14"/>
    </row>
    <row r="53" spans="1:16">
      <c r="A53" s="14"/>
      <c r="K53" s="14"/>
      <c r="L53" s="14"/>
      <c r="M53" s="14"/>
      <c r="N53" s="14"/>
      <c r="O53" s="14"/>
      <c r="P53" s="14"/>
    </row>
    <row r="54" spans="1:16">
      <c r="A54" s="14"/>
      <c r="K54" s="14"/>
      <c r="L54" s="14"/>
      <c r="M54" s="14"/>
      <c r="N54" s="14"/>
      <c r="O54" s="14"/>
      <c r="P54" s="14"/>
    </row>
    <row r="55" spans="1:16">
      <c r="A55" s="14"/>
      <c r="K55" s="14"/>
      <c r="L55" s="14"/>
      <c r="M55" s="14"/>
      <c r="N55" s="14"/>
      <c r="O55" s="14"/>
      <c r="P55" s="14"/>
    </row>
    <row r="56" spans="1:16">
      <c r="A56" s="14"/>
      <c r="K56" s="14"/>
      <c r="L56" s="14"/>
      <c r="M56" s="14"/>
      <c r="N56" s="14"/>
      <c r="O56" s="14"/>
      <c r="P56" s="14"/>
    </row>
    <row r="57" spans="1:16">
      <c r="A57" s="14"/>
      <c r="K57" s="14"/>
      <c r="L57" s="14"/>
      <c r="M57" s="14"/>
      <c r="N57" s="14"/>
      <c r="O57" s="14"/>
      <c r="P57" s="14"/>
    </row>
    <row r="58" spans="1:16">
      <c r="A58" s="14"/>
      <c r="K58" s="14"/>
      <c r="L58" s="14"/>
      <c r="M58" s="14"/>
      <c r="N58" s="14"/>
      <c r="O58" s="14"/>
      <c r="P58" s="14"/>
    </row>
    <row r="59" spans="1:16">
      <c r="A59" s="14"/>
      <c r="K59" s="14"/>
      <c r="L59" s="14"/>
      <c r="M59" s="14"/>
      <c r="N59" s="14"/>
      <c r="O59" s="14"/>
      <c r="P59" s="14"/>
    </row>
    <row r="60" spans="1:16">
      <c r="A60" s="14"/>
      <c r="K60" s="14"/>
      <c r="L60" s="14"/>
      <c r="M60" s="14"/>
      <c r="N60" s="14"/>
      <c r="O60" s="14"/>
      <c r="P60" s="14"/>
    </row>
    <row r="61" spans="1:16">
      <c r="A61" s="14"/>
      <c r="B61" s="14"/>
      <c r="C61" s="14"/>
      <c r="D61" s="14"/>
      <c r="E61" s="14"/>
      <c r="F61" s="14"/>
      <c r="G61" s="14"/>
      <c r="H61" s="14"/>
      <c r="I61" s="14"/>
      <c r="J61" s="14"/>
      <c r="K61" s="14"/>
      <c r="L61" s="14"/>
      <c r="M61" s="14"/>
      <c r="N61" s="14"/>
      <c r="O61" s="14"/>
      <c r="P61" s="14"/>
    </row>
    <row r="62" spans="1:16">
      <c r="A62" s="14"/>
      <c r="B62" s="14"/>
      <c r="C62" s="14"/>
      <c r="D62" s="14"/>
      <c r="E62" s="14"/>
      <c r="F62" s="14"/>
      <c r="G62" s="14"/>
      <c r="H62" s="14"/>
      <c r="I62" s="14"/>
      <c r="J62" s="14"/>
      <c r="K62" s="14"/>
      <c r="L62" s="14"/>
      <c r="M62" s="14"/>
      <c r="N62" s="14"/>
      <c r="O62" s="14"/>
      <c r="P62" s="14"/>
    </row>
    <row r="63" spans="1:16">
      <c r="A63" s="14"/>
      <c r="B63" s="14"/>
      <c r="C63" s="14"/>
    </row>
  </sheetData>
  <sheetProtection algorithmName="SHA-512" hashValue="CAD5vQp2YumdFUwYQ0yPnOyBGJ3Vun6bLT8gDp5qZRub8K/llsNHcVFMQ7F7J4jo34Ra9UFYIHFD4gGneM6I/A==" saltValue="iomGMO/gRaylYndvZRVd0A==" spinCount="100000" sheet="1" objects="1" scenarios="1"/>
  <pageMargins left="0.7" right="0.7" top="0.75" bottom="0.75" header="0.3" footer="0.3"/>
  <pageSetup paperSize="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67A6A5"/>
    <pageSetUpPr fitToPage="1"/>
  </sheetPr>
  <dimension ref="A1:T84"/>
  <sheetViews>
    <sheetView showGridLines="0" topLeftCell="A55" zoomScale="90" zoomScaleNormal="90" zoomScaleSheetLayoutView="115" zoomScalePageLayoutView="115" workbookViewId="0">
      <selection activeCell="P44" sqref="P44"/>
    </sheetView>
  </sheetViews>
  <sheetFormatPr baseColWidth="10" defaultColWidth="9.33203125" defaultRowHeight="13.2"/>
  <cols>
    <col min="1" max="1" width="34" style="3" customWidth="1"/>
    <col min="2" max="2" width="10.88671875" style="3" customWidth="1"/>
    <col min="3" max="7" width="9.5546875" style="3" customWidth="1"/>
    <col min="8" max="8" width="9.33203125" style="3" customWidth="1"/>
    <col min="9" max="9" width="10.33203125" style="3" customWidth="1"/>
    <col min="10" max="14" width="9.5546875" style="3" customWidth="1"/>
    <col min="15" max="15" width="5.6640625" style="3" customWidth="1"/>
    <col min="16" max="16384" width="9.33203125" style="3"/>
  </cols>
  <sheetData>
    <row r="1" spans="1:20" s="4" customFormat="1" ht="19.5" customHeight="1">
      <c r="A1" s="439" t="s">
        <v>359</v>
      </c>
      <c r="B1" s="312"/>
      <c r="C1" s="312"/>
      <c r="D1" s="312"/>
      <c r="E1" s="312"/>
      <c r="F1" s="312"/>
      <c r="G1" s="312"/>
      <c r="H1" s="312"/>
      <c r="I1" s="312"/>
      <c r="J1" s="312"/>
      <c r="K1" s="312"/>
      <c r="L1" s="312"/>
      <c r="M1" s="312"/>
      <c r="N1" s="312"/>
      <c r="O1" s="313" t="str">
        <f>CONCATENATE("Les données concernent les territoires en vigueur au 1er janvier"," ",'Aides traitements'!L4)</f>
        <v>Les données concernent les territoires en vigueur au 1er janvier 2022</v>
      </c>
    </row>
    <row r="2" spans="1:20" ht="14.25" customHeight="1">
      <c r="A2" s="13"/>
      <c r="B2" s="13"/>
      <c r="C2" s="13"/>
      <c r="D2" s="13"/>
      <c r="E2" s="13"/>
      <c r="F2" s="13"/>
      <c r="G2" s="13"/>
      <c r="H2" s="13"/>
      <c r="I2" s="13"/>
      <c r="J2" s="13"/>
      <c r="K2" s="13"/>
      <c r="L2" s="13"/>
      <c r="M2" s="13"/>
      <c r="N2" s="13"/>
      <c r="O2" s="13"/>
    </row>
    <row r="3" spans="1:20" ht="15" customHeight="1">
      <c r="A3" s="111" t="s">
        <v>195</v>
      </c>
      <c r="B3" s="112"/>
      <c r="C3" s="112"/>
      <c r="D3" s="112"/>
      <c r="E3" s="112"/>
      <c r="F3" s="112"/>
      <c r="G3" s="112"/>
      <c r="H3" s="112"/>
      <c r="I3" s="112"/>
      <c r="J3" s="113"/>
      <c r="K3" s="113"/>
      <c r="L3" s="113"/>
      <c r="M3" s="113"/>
      <c r="N3" s="113"/>
      <c r="O3" s="113"/>
    </row>
    <row r="4" spans="1:20" ht="14.25" customHeight="1">
      <c r="A4" s="13"/>
      <c r="B4" s="13"/>
      <c r="C4" s="13"/>
      <c r="D4" s="13"/>
      <c r="E4" s="13"/>
      <c r="F4" s="13"/>
      <c r="G4" s="13"/>
      <c r="H4" s="13"/>
      <c r="I4" s="39"/>
      <c r="J4" s="39"/>
      <c r="K4" s="39"/>
      <c r="L4" s="39"/>
      <c r="M4" s="39"/>
      <c r="N4" s="39"/>
      <c r="O4" s="39"/>
    </row>
    <row r="5" spans="1:20" ht="26.4">
      <c r="A5" s="52" t="s">
        <v>656</v>
      </c>
      <c r="B5" s="820">
        <f>'Aides traitements'!$I$9</f>
        <v>2009</v>
      </c>
      <c r="C5" s="820">
        <f>'Aides traitements'!$I$10</f>
        <v>2014</v>
      </c>
      <c r="D5" s="820">
        <f>'Aides traitements'!$I$11</f>
        <v>2020</v>
      </c>
      <c r="E5" s="13"/>
      <c r="F5"/>
      <c r="G5"/>
      <c r="H5"/>
      <c r="I5" s="39"/>
      <c r="J5" s="39"/>
      <c r="K5" s="39"/>
      <c r="L5" s="39"/>
      <c r="M5" s="39"/>
      <c r="N5" s="39"/>
      <c r="O5" s="39"/>
      <c r="P5"/>
      <c r="Q5"/>
    </row>
    <row r="6" spans="1:20" ht="13.5" customHeight="1">
      <c r="A6" s="189" t="str">
        <f>INDEX('Aides traitements'!$A$5:$A$26,'Page de garde'!$C$4,1)</f>
        <v>Paul Bert</v>
      </c>
      <c r="B6" s="187">
        <f>VLOOKUP($A6,'Base de données'!$B$9:$E$91,2,FALSE)</f>
        <v>2925.7418859999998</v>
      </c>
      <c r="C6" s="187">
        <f>VLOOKUP($A6,'Base de données'!$B$9:$E$91,3,FALSE)</f>
        <v>3195.6356909183669</v>
      </c>
      <c r="D6" s="187">
        <f>VLOOKUP($A6,'Base de données'!$B$9:$E$91,4,FALSE)</f>
        <v>3398.7246474081298</v>
      </c>
      <c r="E6" s="13"/>
      <c r="F6"/>
      <c r="G6"/>
      <c r="H6"/>
      <c r="I6" s="39"/>
      <c r="J6" s="39"/>
      <c r="K6" s="1393" t="str">
        <f>CONCATENATE("Evolution de la 
population depuis"," ",'Aides traitements'!I9," ","à"," ",A7)</f>
        <v>Evolution de la 
population depuis 2009 à Tours nord</v>
      </c>
      <c r="L6" s="1393"/>
      <c r="M6" s="1393"/>
      <c r="N6" s="39"/>
      <c r="O6" s="39"/>
      <c r="P6"/>
      <c r="Q6" s="10"/>
    </row>
    <row r="7" spans="1:20" ht="13.5" customHeight="1">
      <c r="A7" s="190" t="str">
        <f>VLOOKUP(A6,'Aides traitements'!$A$5:$B$26,2,FALSE)</f>
        <v>Tours nord</v>
      </c>
      <c r="B7" s="84">
        <f>VLOOKUP($A7,'Base de données'!$B$9:$E$92,2,FALSE)</f>
        <v>36397.089605000001</v>
      </c>
      <c r="C7" s="84">
        <f>VLOOKUP($A7,'Base de données'!$B$9:$E$92,3,FALSE)</f>
        <v>38164.420002081337</v>
      </c>
      <c r="D7" s="84">
        <f>VLOOKUP($A7,'Base de données'!$B$9:$E$92,4,FALSE)</f>
        <v>41935.565434250013</v>
      </c>
      <c r="E7" s="13"/>
      <c r="F7"/>
      <c r="G7"/>
      <c r="H7"/>
      <c r="I7" s="39"/>
      <c r="J7" s="39"/>
      <c r="K7" s="1393"/>
      <c r="L7" s="1393"/>
      <c r="M7" s="1393"/>
      <c r="N7" s="39"/>
      <c r="O7" s="39"/>
      <c r="P7"/>
      <c r="Q7"/>
      <c r="T7" s="549"/>
    </row>
    <row r="8" spans="1:20" ht="13.5" customHeight="1">
      <c r="A8" s="190" t="s">
        <v>0</v>
      </c>
      <c r="B8" s="84">
        <f>VLOOKUP($A8,'Base de données'!$B$9:$E$92,2,FALSE)</f>
        <v>135217.99999799998</v>
      </c>
      <c r="C8" s="84">
        <f>VLOOKUP($A8,'Base de données'!$B$9:$E$92,3,FALSE)</f>
        <v>136125</v>
      </c>
      <c r="D8" s="84">
        <f>VLOOKUP($A8,'Base de données'!$B$9:$E$92,4,FALSE)</f>
        <v>137849.99999999997</v>
      </c>
      <c r="E8" s="13"/>
      <c r="F8"/>
      <c r="G8"/>
      <c r="H8"/>
      <c r="I8" s="39"/>
      <c r="J8" s="39"/>
      <c r="K8" s="39"/>
      <c r="L8" s="39"/>
      <c r="M8" s="39"/>
      <c r="N8" s="39"/>
      <c r="O8" s="39"/>
      <c r="P8"/>
      <c r="Q8"/>
      <c r="R8"/>
    </row>
    <row r="9" spans="1:20" ht="13.5" customHeight="1">
      <c r="A9" s="836" t="s">
        <v>304</v>
      </c>
      <c r="B9" s="837"/>
      <c r="C9" s="837"/>
      <c r="D9" s="837"/>
      <c r="E9" s="13"/>
      <c r="F9"/>
      <c r="G9"/>
      <c r="H9"/>
      <c r="I9" s="39"/>
      <c r="J9" s="39"/>
      <c r="K9" s="39"/>
      <c r="L9" s="39"/>
      <c r="M9" s="39"/>
      <c r="N9" s="39"/>
      <c r="O9" s="39"/>
      <c r="P9"/>
      <c r="Q9"/>
      <c r="R9"/>
    </row>
    <row r="10" spans="1:20" ht="10.5" customHeight="1">
      <c r="A10" s="838" t="str">
        <f>CONCATENATE("Sources : Insee, RP", 'Aides traitements'!$I$9, ", RP",'Aides traitements'!$I$10," et RP", 'Aides traitements'!$I$11," exploitations principales et complémentaires")</f>
        <v>Sources : Insee, RP2009, RP2014 et RP2020 exploitations principales et complémentaires</v>
      </c>
      <c r="B10" s="186"/>
      <c r="C10" s="186"/>
      <c r="D10" s="186"/>
      <c r="E10" s="186"/>
      <c r="F10" s="186"/>
      <c r="G10" s="186"/>
      <c r="H10" s="186"/>
      <c r="I10" s="39"/>
      <c r="J10" s="39"/>
      <c r="K10" s="39"/>
      <c r="L10" s="39"/>
      <c r="M10" s="39"/>
      <c r="N10" s="39"/>
      <c r="O10" s="39"/>
      <c r="P10"/>
      <c r="Q10"/>
      <c r="R10"/>
    </row>
    <row r="11" spans="1:20" ht="13.5" customHeight="1">
      <c r="A11" s="121"/>
      <c r="B11" s="12"/>
      <c r="C11" s="12"/>
      <c r="D11" s="12"/>
      <c r="E11" s="12"/>
      <c r="F11" s="12"/>
      <c r="G11" s="12"/>
      <c r="I11" s="39"/>
      <c r="J11" s="39"/>
      <c r="K11" s="39"/>
      <c r="L11" s="39"/>
      <c r="M11" s="39"/>
      <c r="N11" s="39"/>
      <c r="O11" s="39"/>
      <c r="Q11"/>
      <c r="R11"/>
    </row>
    <row r="12" spans="1:20" ht="13.5" customHeight="1">
      <c r="A12" s="121"/>
      <c r="B12" s="12"/>
      <c r="C12" s="12"/>
      <c r="D12" s="12"/>
      <c r="E12" s="12"/>
      <c r="F12" s="12"/>
      <c r="G12" s="12"/>
      <c r="I12" s="39"/>
      <c r="J12" s="39"/>
      <c r="K12" s="39"/>
      <c r="L12" s="39"/>
      <c r="M12" s="39"/>
      <c r="N12" s="39"/>
      <c r="O12" s="39"/>
      <c r="Q12"/>
      <c r="R12"/>
    </row>
    <row r="13" spans="1:20" ht="13.5" customHeight="1">
      <c r="A13" s="13"/>
      <c r="B13" s="13"/>
      <c r="C13" s="13"/>
      <c r="D13" s="13"/>
      <c r="E13" s="13"/>
      <c r="F13" s="13"/>
      <c r="G13" s="13"/>
      <c r="H13"/>
      <c r="I13" s="39"/>
      <c r="J13" s="39"/>
      <c r="K13" s="39"/>
      <c r="L13" s="39"/>
      <c r="M13" s="39"/>
      <c r="N13" s="39"/>
      <c r="O13" s="39"/>
      <c r="Q13"/>
      <c r="S13"/>
    </row>
    <row r="14" spans="1:20" s="5" customFormat="1" ht="26.4">
      <c r="A14" s="52" t="s">
        <v>89</v>
      </c>
      <c r="B14" s="819" t="str">
        <f>CONCATENATE('Aides traitements'!$I$9,"-",'Aides traitements'!$I$10)</f>
        <v>2009-2014</v>
      </c>
      <c r="C14" s="819" t="str">
        <f>CONCATENATE('Aides traitements'!$I$10,"-",'Aides traitements'!$I$11)</f>
        <v>2014-2020</v>
      </c>
      <c r="D14" s="839"/>
      <c r="E14" s="840"/>
      <c r="F14" s="840"/>
      <c r="G14" s="840"/>
      <c r="H14"/>
      <c r="I14" s="39"/>
      <c r="J14" s="39"/>
      <c r="K14" s="1400" t="str">
        <f>CONCATENATE("Taux d'évolution annuel moyen de la
population depuis"," ",'Aides traitements'!I9," à ",A15)</f>
        <v>Taux d'évolution annuel moyen de la
population depuis 2009 à Paul Bert</v>
      </c>
      <c r="L14" s="1400"/>
      <c r="M14" s="1400"/>
      <c r="N14" s="225"/>
      <c r="O14" s="106"/>
      <c r="P14" s="3"/>
      <c r="Q14"/>
      <c r="S14"/>
    </row>
    <row r="15" spans="1:20" ht="13.5" customHeight="1">
      <c r="A15" s="189" t="str">
        <f>INDEX('Aides traitements'!$A$5:$A$26,'Page de garde'!$C$4,1)</f>
        <v>Paul Bert</v>
      </c>
      <c r="B15" s="209">
        <f>VLOOKUP($A15,'Base de données'!$G$9:$J$91,2,FALSE)</f>
        <v>1.7804228297367608E-2</v>
      </c>
      <c r="C15" s="209">
        <f>VLOOKUP($A15,'Base de données'!$G$9:$J$91,3,FALSE)</f>
        <v>1.2399084137420635E-2</v>
      </c>
      <c r="D15" s="841"/>
      <c r="E15" s="842"/>
      <c r="F15" s="842"/>
      <c r="G15" s="842"/>
      <c r="H15"/>
      <c r="I15" s="39"/>
      <c r="J15" s="39"/>
      <c r="K15" s="1400"/>
      <c r="L15" s="1400"/>
      <c r="M15" s="1400"/>
      <c r="N15" s="225"/>
      <c r="O15" s="106"/>
      <c r="Q15"/>
    </row>
    <row r="16" spans="1:20" ht="13.5" customHeight="1">
      <c r="A16" s="190" t="str">
        <f>VLOOKUP(A15,'Aides traitements'!$A$5:$B$26,2,FALSE)</f>
        <v>Tours nord</v>
      </c>
      <c r="B16" s="115">
        <f>VLOOKUP($A16,'Base de données'!$G$9:$J$91,2,FALSE)</f>
        <v>9.5280763270284563E-3</v>
      </c>
      <c r="C16" s="115">
        <f>VLOOKUP($A16,'Base de données'!$G$9:$J$91,3,FALSE)</f>
        <v>1.9024832254652013E-2</v>
      </c>
      <c r="D16" s="841"/>
      <c r="E16" s="842"/>
      <c r="F16" s="842"/>
      <c r="G16" s="842"/>
      <c r="H16"/>
      <c r="I16" s="39"/>
      <c r="J16" s="39"/>
      <c r="K16" s="39"/>
      <c r="L16" s="39"/>
      <c r="M16" s="39"/>
      <c r="N16" s="39"/>
      <c r="O16" s="39"/>
      <c r="Q16"/>
    </row>
    <row r="17" spans="1:17" ht="13.5" customHeight="1">
      <c r="A17" s="190" t="s">
        <v>0</v>
      </c>
      <c r="B17" s="115">
        <f>VLOOKUP($A17,'Base de données'!$G$9:$J$91,2,FALSE)</f>
        <v>1.3379523459169373E-3</v>
      </c>
      <c r="C17" s="115">
        <f>VLOOKUP($A17,'Base de données'!$G$9:$J$91,3,FALSE)</f>
        <v>2.521685356898562E-3</v>
      </c>
      <c r="D17" s="841"/>
      <c r="E17" s="842"/>
      <c r="F17" s="842"/>
      <c r="G17" s="842"/>
      <c r="H17"/>
      <c r="I17" s="39"/>
      <c r="J17" s="39"/>
      <c r="K17" s="39"/>
      <c r="L17" s="39"/>
      <c r="M17" s="39"/>
      <c r="N17" s="39"/>
      <c r="O17" s="39"/>
      <c r="Q17"/>
    </row>
    <row r="18" spans="1:17" ht="13.5" customHeight="1">
      <c r="A18" s="1203" t="s">
        <v>304</v>
      </c>
      <c r="B18" s="843"/>
      <c r="C18" s="843"/>
      <c r="D18" s="841"/>
      <c r="E18" s="842"/>
      <c r="F18" s="842"/>
      <c r="G18" s="842"/>
      <c r="H18"/>
      <c r="I18" s="39"/>
      <c r="J18" s="39"/>
      <c r="K18" s="39"/>
      <c r="L18" s="39"/>
      <c r="M18" s="39"/>
      <c r="N18" s="39"/>
      <c r="O18" s="39"/>
      <c r="Q18"/>
    </row>
    <row r="19" spans="1:17" ht="10.5" customHeight="1">
      <c r="A19" s="838" t="str">
        <f>CONCATENATE("Sources : Insee, RP", 'Aides traitements'!$I$9, ", RP",'Aides traitements'!$I$10," et RP", 'Aides traitements'!$I$11," exploitations principales et complémentaires")</f>
        <v>Sources : Insee, RP2009, RP2014 et RP2020 exploitations principales et complémentaires</v>
      </c>
      <c r="B19" s="69"/>
      <c r="C19" s="69"/>
      <c r="D19" s="69"/>
      <c r="E19" s="69"/>
      <c r="F19" s="69"/>
      <c r="G19" s="54"/>
      <c r="H19"/>
      <c r="I19" s="39"/>
      <c r="J19" s="39"/>
      <c r="K19" s="39"/>
      <c r="L19" s="39"/>
      <c r="M19" s="39"/>
      <c r="N19" s="39"/>
      <c r="O19" s="39"/>
      <c r="Q19"/>
    </row>
    <row r="20" spans="1:17" ht="13.5" customHeight="1">
      <c r="A20" s="16"/>
      <c r="B20" s="16"/>
      <c r="C20" s="16"/>
      <c r="D20" s="16"/>
      <c r="E20" s="16"/>
      <c r="F20" s="16"/>
      <c r="G20" s="36"/>
      <c r="H20"/>
      <c r="I20" s="39"/>
      <c r="J20" s="39"/>
      <c r="K20" s="39"/>
      <c r="L20" s="39"/>
      <c r="M20" s="39"/>
      <c r="N20" s="39"/>
      <c r="O20" s="39"/>
    </row>
    <row r="21" spans="1:17" ht="13.5" customHeight="1">
      <c r="A21" s="36"/>
      <c r="B21" s="36"/>
      <c r="C21" s="36"/>
      <c r="D21" s="36"/>
      <c r="E21" s="36"/>
      <c r="F21" s="36"/>
      <c r="G21" s="36"/>
      <c r="H21" s="15"/>
      <c r="I21" s="39"/>
      <c r="J21" s="39"/>
      <c r="K21" s="39"/>
      <c r="L21" s="39"/>
      <c r="M21" s="39"/>
      <c r="N21" s="39"/>
      <c r="O21" s="39"/>
    </row>
    <row r="22" spans="1:17" ht="13.5" customHeight="1">
      <c r="A22" s="36"/>
      <c r="B22" s="36"/>
      <c r="C22" s="36"/>
      <c r="D22" s="36"/>
      <c r="E22" s="36"/>
      <c r="F22" s="36"/>
      <c r="G22" s="36"/>
      <c r="H22" s="15"/>
      <c r="I22" s="39"/>
      <c r="J22" s="39"/>
      <c r="K22" s="39"/>
      <c r="L22" s="39"/>
      <c r="M22" s="39"/>
      <c r="N22" s="39"/>
      <c r="O22" s="39"/>
    </row>
    <row r="23" spans="1:17" ht="14.25" customHeight="1">
      <c r="A23" s="8"/>
      <c r="B23" s="11"/>
      <c r="C23" s="11"/>
      <c r="D23" s="11"/>
      <c r="E23" s="11"/>
      <c r="I23" s="39"/>
      <c r="J23" s="39"/>
      <c r="K23" s="39"/>
      <c r="L23" s="39"/>
      <c r="M23" s="39"/>
      <c r="N23" s="39"/>
      <c r="O23" s="39"/>
    </row>
    <row r="24" spans="1:17" ht="14.25" customHeight="1">
      <c r="A24" s="8"/>
      <c r="B24" s="11"/>
      <c r="C24" s="11"/>
      <c r="D24" s="11"/>
      <c r="E24" s="11"/>
      <c r="I24" s="39"/>
      <c r="J24" s="39"/>
      <c r="K24" s="39"/>
      <c r="L24" s="39"/>
      <c r="M24" s="39"/>
      <c r="N24" s="39"/>
      <c r="O24" s="39"/>
    </row>
    <row r="25" spans="1:17" ht="14.25" customHeight="1">
      <c r="A25" s="8"/>
      <c r="B25" s="11"/>
      <c r="C25" s="11"/>
      <c r="D25" s="11"/>
      <c r="E25" s="11"/>
      <c r="I25" s="39"/>
      <c r="J25" s="39"/>
      <c r="K25" s="39"/>
      <c r="L25" s="39"/>
      <c r="M25" s="39"/>
      <c r="N25" s="39"/>
      <c r="O25" s="39"/>
    </row>
    <row r="26" spans="1:17" ht="14.25" customHeight="1">
      <c r="A26" s="8"/>
      <c r="B26" s="11"/>
      <c r="C26" s="11"/>
      <c r="D26" s="11"/>
      <c r="E26" s="11"/>
      <c r="I26" s="39"/>
      <c r="J26" s="39"/>
      <c r="K26" s="39"/>
      <c r="L26" s="39"/>
      <c r="M26" s="39"/>
      <c r="N26" s="39"/>
      <c r="O26" s="39"/>
    </row>
    <row r="27" spans="1:17" ht="14.25" customHeight="1">
      <c r="A27" s="8"/>
      <c r="B27" s="11"/>
      <c r="C27" s="11"/>
      <c r="D27" s="11"/>
      <c r="E27" s="11"/>
      <c r="I27" s="39"/>
      <c r="J27" s="39"/>
      <c r="K27" s="39"/>
      <c r="L27" s="39"/>
      <c r="M27" s="39"/>
      <c r="N27" s="39"/>
      <c r="O27" s="39"/>
    </row>
    <row r="28" spans="1:17" ht="14.25" customHeight="1">
      <c r="A28" s="8"/>
      <c r="B28" s="11"/>
      <c r="C28" s="11"/>
      <c r="D28" s="11"/>
      <c r="E28" s="11"/>
      <c r="I28" s="39"/>
      <c r="J28" s="39"/>
      <c r="K28" s="39"/>
      <c r="L28" s="39"/>
      <c r="M28" s="39"/>
      <c r="N28" s="39"/>
      <c r="O28" s="39"/>
    </row>
    <row r="29" spans="1:17" s="13" customFormat="1" ht="14.25" customHeight="1">
      <c r="A29" s="844"/>
      <c r="B29" s="845"/>
      <c r="C29" s="845"/>
      <c r="D29" s="845"/>
      <c r="E29" s="845"/>
    </row>
    <row r="30" spans="1:17" ht="15" customHeight="1">
      <c r="A30" s="111" t="s">
        <v>657</v>
      </c>
      <c r="B30" s="112"/>
      <c r="C30" s="112"/>
      <c r="D30" s="112"/>
      <c r="E30" s="112"/>
      <c r="F30" s="112"/>
      <c r="G30" s="112"/>
      <c r="H30" s="112"/>
      <c r="I30" s="112"/>
      <c r="J30" s="113"/>
      <c r="K30" s="113"/>
      <c r="L30" s="113"/>
      <c r="M30" s="113"/>
      <c r="N30" s="113"/>
      <c r="O30" s="113"/>
    </row>
    <row r="31" spans="1:17" ht="15" customHeight="1">
      <c r="A31" s="847"/>
      <c r="B31" s="848"/>
      <c r="C31" s="848"/>
      <c r="D31" s="848"/>
      <c r="E31" s="848"/>
      <c r="F31" s="848"/>
      <c r="G31" s="848"/>
      <c r="H31" s="848"/>
      <c r="I31" s="112"/>
      <c r="J31" s="113"/>
      <c r="K31" s="113"/>
      <c r="L31" s="113"/>
      <c r="M31" s="113"/>
      <c r="N31" s="113"/>
      <c r="O31" s="113"/>
    </row>
    <row r="32" spans="1:17" s="31" customFormat="1" ht="28.2" customHeight="1">
      <c r="A32" s="155" t="str">
        <f>CONCATENATE("Nombre de naissances domiciliées entre ",$B$32," et ",$L$32)</f>
        <v>Nombre de naissances domiciliées entre 2013 et 2023</v>
      </c>
      <c r="B32" s="1070">
        <f>'Base de données'!M8</f>
        <v>2013</v>
      </c>
      <c r="C32" s="1194">
        <f>'Base de données'!N8</f>
        <v>2014</v>
      </c>
      <c r="D32" s="1194">
        <f>'Base de données'!O8</f>
        <v>2015</v>
      </c>
      <c r="E32" s="1194">
        <f>'Base de données'!P8</f>
        <v>2016</v>
      </c>
      <c r="F32" s="1194">
        <f>'Base de données'!Q8</f>
        <v>2017</v>
      </c>
      <c r="G32" s="1194">
        <f>'Base de données'!R8</f>
        <v>2018</v>
      </c>
      <c r="H32" s="1194">
        <f>'Base de données'!S8</f>
        <v>2019</v>
      </c>
      <c r="I32" s="1194">
        <f>'Base de données'!T8</f>
        <v>2020</v>
      </c>
      <c r="J32" s="1194">
        <f>'Base de données'!U8</f>
        <v>2021</v>
      </c>
      <c r="K32" s="1194">
        <f>'Base de données'!V8</f>
        <v>2022</v>
      </c>
      <c r="L32" s="1231">
        <f>'Base de données'!W8</f>
        <v>2023</v>
      </c>
      <c r="M32" s="39"/>
      <c r="N32" s="39"/>
      <c r="O32" s="39"/>
    </row>
    <row r="33" spans="1:15" s="31" customFormat="1" ht="14.25" customHeight="1">
      <c r="A33" s="189" t="str">
        <f>INDEX('Aides traitements'!$A$5:$A$26,'Page de garde'!$C$4,1)</f>
        <v>Paul Bert</v>
      </c>
      <c r="B33" s="187">
        <f>VLOOKUP($A33,'Base de données'!$L$9:$V$91,2,FALSE)</f>
        <v>24</v>
      </c>
      <c r="C33" s="187">
        <f>VLOOKUP($A33,'Base de données'!$L$9:$V$92,3,FALSE)</f>
        <v>24</v>
      </c>
      <c r="D33" s="187">
        <f>VLOOKUP($A33,'Base de données'!$L$9:$V$92,4,FALSE)</f>
        <v>24</v>
      </c>
      <c r="E33" s="187">
        <f>VLOOKUP($A33,'Base de données'!$L$9:$V$92,5,FALSE)</f>
        <v>23</v>
      </c>
      <c r="F33" s="187">
        <f>VLOOKUP($A33,'Base de données'!$L$9:$V$92,6,FALSE)</f>
        <v>22</v>
      </c>
      <c r="G33" s="187">
        <f>VLOOKUP($A33,'Base de données'!$L$9:$V$92,7,FALSE)</f>
        <v>24</v>
      </c>
      <c r="H33" s="187">
        <f>VLOOKUP($A33,'Base de données'!$L$9:$V$92,8,FALSE)</f>
        <v>26</v>
      </c>
      <c r="I33" s="187">
        <f>VLOOKUP($A33,'Base de données'!$L$9:$V$92,9,FALSE)</f>
        <v>19</v>
      </c>
      <c r="J33" s="187">
        <f>VLOOKUP($A33,'Base de données'!$L$9:$V$92,10,FALSE)</f>
        <v>25</v>
      </c>
      <c r="K33" s="187">
        <f>VLOOKUP($A33,'Base de données'!$L$9:$V$92,11,FALSE)</f>
        <v>23</v>
      </c>
      <c r="L33" s="187">
        <f>VLOOKUP($A33,'Base de données'!$L$9:$W$92,12,FALSE)</f>
        <v>36</v>
      </c>
      <c r="M33" s="41"/>
      <c r="N33" s="39"/>
      <c r="O33" s="39"/>
    </row>
    <row r="34" spans="1:15" s="31" customFormat="1" ht="14.25" customHeight="1">
      <c r="A34" s="190" t="str">
        <f>VLOOKUP(A33,'Aides traitements'!$A$5:$B$26,2,FALSE)</f>
        <v>Tours nord</v>
      </c>
      <c r="B34" s="84">
        <f>VLOOKUP($A34,'Base de données'!$L$9:$V$92,2,FALSE)</f>
        <v>408</v>
      </c>
      <c r="C34" s="84">
        <f>VLOOKUP($A34,'Base de données'!$L$9:$V$92,3,FALSE)</f>
        <v>433</v>
      </c>
      <c r="D34" s="84">
        <f>VLOOKUP($A34,'Base de données'!$L$9:$V$92,4,FALSE)</f>
        <v>424</v>
      </c>
      <c r="E34" s="84">
        <f>VLOOKUP($A34,'Base de données'!$L$9:$V$92,5,FALSE)</f>
        <v>459</v>
      </c>
      <c r="F34" s="84">
        <f>VLOOKUP($A34,'Base de données'!$L$9:$V$92,6,FALSE)</f>
        <v>431</v>
      </c>
      <c r="G34" s="84">
        <f>VLOOKUP($A34,'Base de données'!$L$9:$V$92,7,FALSE)</f>
        <v>456</v>
      </c>
      <c r="H34" s="84">
        <f>VLOOKUP($A34,'Base de données'!$L$9:$V$92,8,FALSE)</f>
        <v>477</v>
      </c>
      <c r="I34" s="84">
        <f>VLOOKUP($A34,'Base de données'!$L$9:$V$92,9,FALSE)</f>
        <v>429</v>
      </c>
      <c r="J34" s="84">
        <f>VLOOKUP($A34,'Base de données'!$L$9:$V$92,10,FALSE)</f>
        <v>444</v>
      </c>
      <c r="K34" s="84">
        <f>VLOOKUP($A34,'Base de données'!$L$9:$V$92,11,FALSE)</f>
        <v>389</v>
      </c>
      <c r="L34" s="84">
        <f>VLOOKUP($A34,'Base de données'!$L$9:$W$92,12,FALSE)</f>
        <v>438</v>
      </c>
      <c r="M34" s="41"/>
      <c r="N34" s="39"/>
      <c r="O34" s="39"/>
    </row>
    <row r="35" spans="1:15" s="31" customFormat="1" ht="14.25" customHeight="1">
      <c r="A35" s="1078" t="s">
        <v>690</v>
      </c>
      <c r="B35" s="84">
        <f>VLOOKUP($A35,'Base de données'!$L$9:$V$93,2,FALSE)</f>
        <v>1603</v>
      </c>
      <c r="C35" s="84">
        <f>VLOOKUP($A35,'Base de données'!$L$9:$V$93,3,FALSE)</f>
        <v>1664</v>
      </c>
      <c r="D35" s="84">
        <f>VLOOKUP($A35,'Base de données'!$L$9:$V$93,4,FALSE)</f>
        <v>1587</v>
      </c>
      <c r="E35" s="84">
        <f>VLOOKUP($A35,'Base de données'!$L$9:$V$93,5,FALSE)</f>
        <v>1629</v>
      </c>
      <c r="F35" s="84">
        <f>VLOOKUP($A35,'Base de données'!$L$9:$V$93,6,FALSE)</f>
        <v>1592</v>
      </c>
      <c r="G35" s="84">
        <f>VLOOKUP($A35,'Base de données'!$L$9:$V$93,7,FALSE)</f>
        <v>1588</v>
      </c>
      <c r="H35" s="84">
        <f>VLOOKUP($A35,'Base de données'!$L$9:$V$93,8,FALSE)</f>
        <v>1613</v>
      </c>
      <c r="I35" s="84">
        <f>VLOOKUP($A35,'Base de données'!$L$9:$V$93,9,FALSE)</f>
        <v>1542</v>
      </c>
      <c r="J35" s="84">
        <f>VLOOKUP($A35,'Base de données'!$L$9:$V$93,10,FALSE)</f>
        <v>1492</v>
      </c>
      <c r="K35" s="84">
        <f>VLOOKUP($A35,'Base de données'!$L$9:$V$93,11,FALSE)</f>
        <v>1339</v>
      </c>
      <c r="L35" s="84">
        <f>VLOOKUP($A35,'Base de données'!$L$9:$W$93,12,FALSE)</f>
        <v>1466</v>
      </c>
      <c r="M35" s="41"/>
      <c r="N35" s="39"/>
      <c r="O35" s="39"/>
    </row>
    <row r="36" spans="1:15" s="31" customFormat="1" ht="14.25" customHeight="1">
      <c r="A36" s="560" t="s">
        <v>691</v>
      </c>
      <c r="B36" s="1084">
        <f>VLOOKUP($A36,'Base de données'!$L$9:$V$93,2,FALSE)</f>
        <v>1603</v>
      </c>
      <c r="C36" s="1084">
        <f>VLOOKUP($A36,'Base de données'!$L$9:$V$93,3,FALSE)</f>
        <v>1686</v>
      </c>
      <c r="D36" s="1084">
        <f>VLOOKUP($A36,'Base de données'!$L$9:$V$93,4,FALSE)</f>
        <v>1597</v>
      </c>
      <c r="E36" s="1084">
        <f>VLOOKUP($A36,'Base de données'!$L$9:$V$93,5,FALSE)</f>
        <v>1641</v>
      </c>
      <c r="F36" s="1084">
        <f>VLOOKUP($A36,'Base de données'!$L$9:$V$93,6,FALSE)</f>
        <v>1597</v>
      </c>
      <c r="G36" s="1084">
        <f>VLOOKUP($A36,'Base de données'!$L$9:$V$93,7,FALSE)</f>
        <v>1598</v>
      </c>
      <c r="H36" s="1084">
        <f>VLOOKUP($A36,'Base de données'!$L$9:$V$93,8,FALSE)</f>
        <v>1612</v>
      </c>
      <c r="I36" s="1084">
        <f>VLOOKUP($A36,'Base de données'!$L$9:$V$93,9,FALSE)</f>
        <v>1553</v>
      </c>
      <c r="J36" s="1084">
        <f>VLOOKUP($A36,'Base de données'!$L$9:$V$93,10,FALSE)</f>
        <v>1497</v>
      </c>
      <c r="K36" s="1084">
        <f>VLOOKUP($A36,'Base de données'!$L$9:$V$93,11,FALSE)</f>
        <v>1453</v>
      </c>
      <c r="L36" s="1232">
        <f>VLOOKUP($A36,'Base de données'!$L$9:$W$93,12,FALSE)</f>
        <v>0</v>
      </c>
      <c r="M36" s="41"/>
      <c r="N36" s="39"/>
      <c r="O36" s="39"/>
    </row>
    <row r="37" spans="1:15" s="31" customFormat="1" ht="14.25" customHeight="1">
      <c r="A37" s="114" t="s">
        <v>611</v>
      </c>
      <c r="B37" s="13"/>
      <c r="C37"/>
      <c r="D37" s="14"/>
      <c r="E37" s="14"/>
      <c r="F37" s="3"/>
      <c r="G37" s="3"/>
      <c r="H37" s="3"/>
      <c r="I37" s="41"/>
      <c r="J37" s="41"/>
      <c r="K37" s="39"/>
      <c r="L37" s="39"/>
      <c r="M37" s="39"/>
      <c r="N37" s="39"/>
      <c r="O37" s="39"/>
    </row>
    <row r="38" spans="1:15" s="31" customFormat="1" ht="14.25" customHeight="1">
      <c r="A38" s="114"/>
      <c r="I38" s="41"/>
      <c r="J38" s="41"/>
      <c r="K38" s="39"/>
      <c r="L38" s="39"/>
      <c r="M38" s="39"/>
      <c r="N38" s="39"/>
      <c r="O38" s="39"/>
    </row>
    <row r="39" spans="1:15" s="31" customFormat="1" ht="51.6" customHeight="1">
      <c r="A39" s="155" t="s">
        <v>658</v>
      </c>
      <c r="B39" s="1197" t="str">
        <f>'Base de données'!Y8</f>
        <v>Nombre moyen de naissances 2013-2014</v>
      </c>
      <c r="C39" s="1197" t="str">
        <f>'Base de données'!Z8</f>
        <v>Nombre moyen de naissances 2015-2016</v>
      </c>
      <c r="D39" s="1197" t="str">
        <f>'Base de données'!AA8</f>
        <v>Nombre moyen de naissances 2017-2018</v>
      </c>
      <c r="E39" s="1197" t="str">
        <f>'Base de données'!AB8</f>
        <v>Nombre moyen de naissances 2019-2020</v>
      </c>
      <c r="F39" s="1197" t="str">
        <f>'Base de données'!AC8</f>
        <v>Nombre moyen de naissances 2021-2022</v>
      </c>
      <c r="I39" s="41"/>
      <c r="J39" s="41" t="str">
        <f>A32</f>
        <v>Nombre de naissances domiciliées entre 2013 et 2023</v>
      </c>
      <c r="K39" s="39"/>
      <c r="L39" s="39"/>
      <c r="M39" s="39"/>
      <c r="N39" s="39"/>
      <c r="O39" s="39"/>
    </row>
    <row r="40" spans="1:15" s="31" customFormat="1" ht="14.25" customHeight="1">
      <c r="A40" s="189" t="str">
        <f>INDEX('Aides traitements'!$A$5:$A$26,'Page de garde'!$C$4,1)</f>
        <v>Paul Bert</v>
      </c>
      <c r="B40" s="201">
        <f>VLOOKUP($A40,'Base de données'!$X$9:$AG$91,2,FALSE)</f>
        <v>24</v>
      </c>
      <c r="C40" s="201">
        <f>VLOOKUP($A40,'Base de données'!$X$9:$AG$91,3,FALSE)</f>
        <v>23.5</v>
      </c>
      <c r="D40" s="201">
        <f>VLOOKUP($A40,'Base de données'!$X$9:$AG$91,4,FALSE)</f>
        <v>23</v>
      </c>
      <c r="E40" s="201">
        <f>VLOOKUP($A40,'Base de données'!$X$9:$AG$91,5,FALSE)</f>
        <v>22.5</v>
      </c>
      <c r="F40" s="201">
        <f>VLOOKUP($A40,'Base de données'!$X$9:$AG$91,6,FALSE)</f>
        <v>22.5</v>
      </c>
      <c r="I40" s="41"/>
      <c r="J40" s="41"/>
      <c r="K40" s="39"/>
      <c r="L40" s="39"/>
      <c r="M40" s="39"/>
      <c r="N40" s="39"/>
      <c r="O40" s="39"/>
    </row>
    <row r="41" spans="1:15" s="31" customFormat="1" ht="14.25" customHeight="1">
      <c r="A41" s="190" t="str">
        <f>VLOOKUP(A40,'Aides traitements'!$A$5:$B$26,2,FALSE)</f>
        <v>Tours nord</v>
      </c>
      <c r="B41" s="1083">
        <f>VLOOKUP($A41,'Base de données'!$X$9:$AG$91,2,FALSE)</f>
        <v>420.5</v>
      </c>
      <c r="C41" s="1083">
        <f>VLOOKUP($A41,'Base de données'!$X$9:$AG$91,3,FALSE)</f>
        <v>441.5</v>
      </c>
      <c r="D41" s="1083">
        <f>VLOOKUP($A41,'Base de données'!$X$9:$AG$91,4,FALSE)</f>
        <v>443.5</v>
      </c>
      <c r="E41" s="1083">
        <f>VLOOKUP($A41,'Base de données'!$X$9:$AG$91,5,FALSE)</f>
        <v>453</v>
      </c>
      <c r="F41" s="1083">
        <f>VLOOKUP($A41,'Base de données'!$X$9:$AG$91,6,FALSE)</f>
        <v>453</v>
      </c>
      <c r="I41" s="41"/>
      <c r="J41" s="41"/>
      <c r="K41" s="39"/>
      <c r="L41" s="39"/>
      <c r="M41" s="39"/>
      <c r="N41" s="39"/>
      <c r="O41" s="39"/>
    </row>
    <row r="42" spans="1:15" s="31" customFormat="1" ht="14.25" customHeight="1">
      <c r="A42" s="1078" t="s">
        <v>690</v>
      </c>
      <c r="B42" s="1083">
        <f>VLOOKUP($A42,'Base de données'!$X$9:$AG$93,2,FALSE)</f>
        <v>1633.5</v>
      </c>
      <c r="C42" s="1083">
        <f>VLOOKUP($A42,'Base de données'!$X$9:$AG$93,3,FALSE)</f>
        <v>1608</v>
      </c>
      <c r="D42" s="1083">
        <f>VLOOKUP($A42,'Base de données'!$X$9:$AG$93,4,FALSE)</f>
        <v>1590</v>
      </c>
      <c r="E42" s="1083">
        <f>VLOOKUP($A42,'Base de données'!$X$9:$AG$93,5,FALSE)</f>
        <v>1577.5</v>
      </c>
      <c r="F42" s="1083">
        <f>VLOOKUP($A42,'Base de données'!$X$9:$AG$93,6,FALSE)</f>
        <v>1577.5</v>
      </c>
      <c r="I42" s="41"/>
      <c r="J42" s="41"/>
      <c r="K42" s="39"/>
      <c r="L42" s="39"/>
      <c r="M42" s="39"/>
      <c r="N42" s="39"/>
      <c r="O42" s="39"/>
    </row>
    <row r="43" spans="1:15" s="31" customFormat="1" ht="14.25" customHeight="1">
      <c r="A43" s="560" t="s">
        <v>691</v>
      </c>
      <c r="B43" s="1085">
        <f>VLOOKUP($A43,'Base de données'!$X$9:$AG$93,2,FALSE)</f>
        <v>1644.5</v>
      </c>
      <c r="C43" s="1085">
        <f>VLOOKUP($A43,'Base de données'!$X$9:$AG$93,3,FALSE)</f>
        <v>1619</v>
      </c>
      <c r="D43" s="1085">
        <f>VLOOKUP($A43,'Base de données'!$X$9:$AG$93,4,FALSE)</f>
        <v>1597.5</v>
      </c>
      <c r="E43" s="1085">
        <f>VLOOKUP($A43,'Base de données'!$X$9:$AG$93,5,FALSE)</f>
        <v>1582.5</v>
      </c>
      <c r="F43" s="1085">
        <f>VLOOKUP($A43,'Base de données'!$X$9:$AG$93,6,FALSE)</f>
        <v>1582.5</v>
      </c>
      <c r="I43" s="41"/>
      <c r="J43" s="41"/>
      <c r="K43" s="39"/>
      <c r="L43" s="39"/>
      <c r="M43" s="39"/>
      <c r="N43" s="39"/>
      <c r="O43" s="39"/>
    </row>
    <row r="44" spans="1:15" s="31" customFormat="1" ht="14.25" customHeight="1">
      <c r="A44" s="114" t="s">
        <v>611</v>
      </c>
      <c r="I44" s="41"/>
      <c r="J44" s="41"/>
      <c r="K44" s="39"/>
      <c r="L44" s="39"/>
      <c r="M44" s="39"/>
      <c r="N44" s="39"/>
      <c r="O44" s="39"/>
    </row>
    <row r="45" spans="1:15" s="31" customFormat="1" ht="14.25" customHeight="1">
      <c r="A45" s="114"/>
      <c r="I45" s="41"/>
      <c r="J45" s="41"/>
      <c r="K45" s="39"/>
      <c r="L45" s="39"/>
      <c r="M45" s="39"/>
      <c r="N45" s="39"/>
      <c r="O45" s="39"/>
    </row>
    <row r="46" spans="1:15" s="13" customFormat="1" ht="13.2" customHeight="1">
      <c r="I46" s="41"/>
      <c r="J46" s="41"/>
      <c r="K46" s="39"/>
      <c r="L46" s="39"/>
      <c r="M46" s="39"/>
      <c r="N46" s="39"/>
      <c r="O46" s="39"/>
    </row>
    <row r="47" spans="1:15">
      <c r="I47" s="41"/>
      <c r="J47" s="41"/>
      <c r="K47" s="39"/>
      <c r="L47" s="39"/>
      <c r="M47" s="39"/>
      <c r="N47" s="39"/>
      <c r="O47" s="39"/>
    </row>
    <row r="48" spans="1:15" ht="13.5" customHeight="1">
      <c r="I48" s="41"/>
      <c r="J48" s="41"/>
      <c r="K48" s="39"/>
      <c r="L48" s="39"/>
      <c r="M48" s="39"/>
      <c r="N48" s="39"/>
      <c r="O48" s="39"/>
    </row>
    <row r="49" spans="1:15" ht="13.5" customHeight="1">
      <c r="I49" s="41"/>
      <c r="J49" s="41"/>
      <c r="K49" s="39"/>
      <c r="L49" s="39"/>
      <c r="M49" s="39"/>
      <c r="N49" s="39"/>
      <c r="O49" s="39"/>
    </row>
    <row r="50" spans="1:15" ht="13.5" customHeight="1">
      <c r="I50" s="41"/>
      <c r="J50" s="41"/>
      <c r="K50" s="39"/>
      <c r="L50" s="39"/>
      <c r="M50" s="39"/>
      <c r="N50" s="39"/>
      <c r="O50" s="39"/>
    </row>
    <row r="51" spans="1:15" ht="13.5" customHeight="1">
      <c r="I51" s="41"/>
      <c r="J51" s="41"/>
      <c r="K51" s="39"/>
      <c r="L51" s="39"/>
      <c r="M51" s="39"/>
      <c r="N51" s="39"/>
      <c r="O51" s="39"/>
    </row>
    <row r="52" spans="1:15" ht="10.5" customHeight="1">
      <c r="I52" s="41"/>
      <c r="J52" s="41"/>
      <c r="K52" s="39"/>
      <c r="L52" s="39"/>
      <c r="M52" s="39"/>
      <c r="N52" s="39"/>
      <c r="O52" s="39"/>
    </row>
    <row r="53" spans="1:15" s="31" customFormat="1" ht="14.25" customHeight="1">
      <c r="I53" s="41"/>
      <c r="J53" s="41"/>
      <c r="K53" s="39"/>
      <c r="L53" s="39"/>
      <c r="M53" s="39"/>
      <c r="N53" s="39"/>
      <c r="O53" s="39"/>
    </row>
    <row r="54" spans="1:15" ht="14.25" customHeight="1">
      <c r="A54" s="31"/>
      <c r="B54" s="31"/>
      <c r="C54" s="31"/>
      <c r="D54" s="31"/>
      <c r="E54" s="31"/>
      <c r="F54" s="31"/>
      <c r="G54" s="31"/>
      <c r="H54" s="31"/>
      <c r="I54" s="31"/>
      <c r="J54" s="7"/>
      <c r="K54" s="7"/>
      <c r="L54" s="7"/>
      <c r="M54" s="7"/>
      <c r="N54" s="7"/>
      <c r="O54" s="7"/>
    </row>
    <row r="55" spans="1:15" ht="14.25" customHeight="1">
      <c r="A55" s="31"/>
      <c r="B55" s="31"/>
      <c r="C55" s="31"/>
      <c r="D55" s="31"/>
      <c r="E55" s="31"/>
      <c r="F55" s="31"/>
      <c r="G55" s="31"/>
      <c r="H55" s="31"/>
      <c r="I55" s="31"/>
      <c r="J55" s="7"/>
      <c r="K55" s="7"/>
      <c r="L55" s="7"/>
      <c r="M55" s="7"/>
      <c r="N55" s="7"/>
      <c r="O55" s="7"/>
    </row>
    <row r="56" spans="1:15" ht="15" customHeight="1">
      <c r="A56" s="111" t="s">
        <v>206</v>
      </c>
      <c r="B56" s="112"/>
      <c r="C56" s="112"/>
      <c r="D56" s="112"/>
      <c r="E56" s="112"/>
      <c r="F56" s="112"/>
      <c r="G56" s="112"/>
      <c r="H56" s="112"/>
      <c r="I56" s="112"/>
      <c r="J56" s="113"/>
      <c r="K56" s="113"/>
      <c r="L56" s="113"/>
      <c r="M56" s="113"/>
      <c r="N56" s="113"/>
      <c r="O56" s="113"/>
    </row>
    <row r="57" spans="1:15" ht="14.25" customHeight="1">
      <c r="J57" s="113"/>
      <c r="K57" s="113"/>
      <c r="L57" s="850"/>
      <c r="M57" s="113"/>
      <c r="N57" s="113"/>
      <c r="O57" s="113"/>
    </row>
    <row r="58" spans="1:15" ht="14.25" customHeight="1">
      <c r="A58" s="1398" t="str">
        <f>CONCATENATE("Catégorie socioprofessionnelle des personnes âgées de 15 ans ou plus en ",'Aides traitements'!$I$11)</f>
        <v>Catégorie socioprofessionnelle des personnes âgées de 15 ans ou plus en 2020</v>
      </c>
      <c r="B58" s="1236" t="s">
        <v>86</v>
      </c>
      <c r="C58" s="1237"/>
      <c r="D58" s="1237"/>
      <c r="E58" s="1237"/>
      <c r="F58" s="1237"/>
      <c r="G58" s="1237"/>
      <c r="H58" s="1237"/>
      <c r="I58" s="1394"/>
      <c r="J58" s="113"/>
      <c r="K58" s="113"/>
      <c r="L58" s="113"/>
      <c r="M58" s="113"/>
      <c r="N58" s="113"/>
      <c r="O58" s="113"/>
    </row>
    <row r="59" spans="1:15" s="19" customFormat="1" ht="43.2">
      <c r="A59" s="1399"/>
      <c r="B59" s="210" t="s">
        <v>75</v>
      </c>
      <c r="C59" s="210" t="s">
        <v>202</v>
      </c>
      <c r="D59" s="210" t="s">
        <v>264</v>
      </c>
      <c r="E59" s="210" t="s">
        <v>79</v>
      </c>
      <c r="F59" s="210" t="s">
        <v>77</v>
      </c>
      <c r="G59" s="210" t="s">
        <v>78</v>
      </c>
      <c r="H59" s="210" t="s">
        <v>204</v>
      </c>
      <c r="I59" s="210" t="s">
        <v>205</v>
      </c>
      <c r="J59" s="42"/>
      <c r="K59" s="227" t="str">
        <f>CONCATENATE("Catégorie socioprofessionnelle des personnes âgées
de 15 ans ou plus en ",INDEX('Aides traitements'!$E$4:$E$5,'Page de garde'!$G$4,1)," et ",'Aides traitements'!I11," ",A60)</f>
        <v>Catégorie socioprofessionnelle des personnes âgées
de 15 ans ou plus en 2009 et 2020 Paul Bert</v>
      </c>
      <c r="L59" s="40"/>
      <c r="M59" s="40"/>
      <c r="N59" s="40"/>
      <c r="O59" s="40"/>
    </row>
    <row r="60" spans="1:15" s="19" customFormat="1" ht="12.75" customHeight="1">
      <c r="A60" s="189" t="str">
        <f>INDEX('Aides traitements'!$A$5:$A$26,'Page de garde'!$C$4,1)</f>
        <v>Paul Bert</v>
      </c>
      <c r="B60" s="187">
        <f>VLOOKUP($A60,'Base de données'!$AN$9:$BL$91,18,FALSE)</f>
        <v>0</v>
      </c>
      <c r="C60" s="187">
        <f>VLOOKUP($A60,'Base de données'!$AN$9:$BL$91,19,FALSE)</f>
        <v>86.825299214581705</v>
      </c>
      <c r="D60" s="187">
        <f>VLOOKUP($A60,'Base de données'!$AN$9:$BL$91,20,FALSE)</f>
        <v>408.96364162071899</v>
      </c>
      <c r="E60" s="187">
        <f>VLOOKUP($A60,'Base de données'!$AN$9:$BL$91,21,FALSE)</f>
        <v>481.81805202042801</v>
      </c>
      <c r="F60" s="187">
        <f>VLOOKUP($A60,'Base de données'!$AN$9:$BL$91,22,FALSE)</f>
        <v>354.20365982163003</v>
      </c>
      <c r="G60" s="187">
        <f>VLOOKUP($A60,'Base de données'!$AN$9:$BL$91,23,FALSE)</f>
        <v>188.08650680021299</v>
      </c>
      <c r="H60" s="187">
        <f>VLOOKUP($A60,'Base de données'!$AN$9:$BL$91,24,FALSE)</f>
        <v>817.40871896834506</v>
      </c>
      <c r="I60" s="187">
        <f>VLOOKUP($A60,'Base de données'!$AN$9:$BL$91,25,FALSE)</f>
        <v>677.407581479594</v>
      </c>
      <c r="J60" s="42"/>
      <c r="K60" s="40"/>
      <c r="L60" s="40"/>
      <c r="M60" s="40"/>
      <c r="N60" s="40"/>
      <c r="O60" s="40"/>
    </row>
    <row r="61" spans="1:15" s="19" customFormat="1" ht="12.75" customHeight="1">
      <c r="A61" s="190" t="str">
        <f>VLOOKUP(A60,'Aides traitements'!$A$5:$B$26,2,FALSE)</f>
        <v>Tours nord</v>
      </c>
      <c r="B61" s="84">
        <f>VLOOKUP($A61,'Base de données'!$AN$9:$BL$91,18,FALSE)</f>
        <v>5.2864939410043501</v>
      </c>
      <c r="C61" s="84">
        <f>VLOOKUP($A61,'Base de données'!$AN$9:$BL$91,19,FALSE)</f>
        <v>809.74801131825552</v>
      </c>
      <c r="D61" s="84">
        <f>VLOOKUP($A61,'Base de données'!$AN$9:$BL$91,20,FALSE)</f>
        <v>3009.006059216134</v>
      </c>
      <c r="E61" s="84">
        <f>VLOOKUP($A61,'Base de données'!$AN$9:$BL$91,21,FALSE)</f>
        <v>5780.2786263068128</v>
      </c>
      <c r="F61" s="84">
        <f>VLOOKUP($A61,'Base de données'!$AN$9:$BL$91,22,FALSE)</f>
        <v>6863.9906002163843</v>
      </c>
      <c r="G61" s="84">
        <f>VLOOKUP($A61,'Base de données'!$AN$9:$BL$91,23,FALSE)</f>
        <v>4056.3290551151113</v>
      </c>
      <c r="H61" s="84">
        <f>VLOOKUP($A61,'Base de données'!$AN$9:$BL$91,24,FALSE)</f>
        <v>9700.553943328372</v>
      </c>
      <c r="I61" s="84">
        <f>VLOOKUP($A61,'Base de données'!$AN$9:$BL$91,25,FALSE)</f>
        <v>5634.8730072499138</v>
      </c>
      <c r="J61" s="42"/>
      <c r="K61" s="40"/>
      <c r="L61" s="40"/>
      <c r="M61" s="40"/>
      <c r="N61" s="40"/>
      <c r="O61" s="40"/>
    </row>
    <row r="62" spans="1:15" s="19" customFormat="1" ht="12.75" customHeight="1">
      <c r="A62" s="190" t="s">
        <v>0</v>
      </c>
      <c r="B62" s="84">
        <f>VLOOKUP($A62,'Base de données'!$AN$9:$BL$91,18,FALSE)</f>
        <v>34.792845350120594</v>
      </c>
      <c r="C62" s="84">
        <f>VLOOKUP($A62,'Base de données'!$AN$9:$BL$91,19,FALSE)</f>
        <v>2741.9177884989517</v>
      </c>
      <c r="D62" s="84">
        <f>VLOOKUP($A62,'Base de données'!$AN$9:$BL$91,20,FALSE)</f>
        <v>13581.341444086394</v>
      </c>
      <c r="E62" s="84">
        <f>VLOOKUP($A62,'Base de données'!$AN$9:$BL$91,21,FALSE)</f>
        <v>17701.169054777274</v>
      </c>
      <c r="F62" s="84">
        <f>VLOOKUP($A62,'Base de données'!$AN$9:$BL$91,22,FALSE)</f>
        <v>19033.160406192641</v>
      </c>
      <c r="G62" s="84">
        <f>VLOOKUP($A62,'Base de données'!$AN$9:$BL$91,23,FALSE)</f>
        <v>11267.317077905669</v>
      </c>
      <c r="H62" s="84">
        <f>VLOOKUP($A62,'Base de données'!$AN$9:$BL$91,24,FALSE)</f>
        <v>27143.774175754355</v>
      </c>
      <c r="I62" s="84">
        <f>VLOOKUP($A62,'Base de données'!$AN$9:$BL$91,25,FALSE)</f>
        <v>26756.402161347647</v>
      </c>
      <c r="J62" s="42"/>
      <c r="K62" s="40"/>
      <c r="L62" s="40"/>
      <c r="M62" s="40"/>
      <c r="N62" s="40"/>
      <c r="O62" s="40"/>
    </row>
    <row r="63" spans="1:15" s="19" customFormat="1" ht="12.75" customHeight="1">
      <c r="A63" s="836" t="s">
        <v>304</v>
      </c>
      <c r="B63" s="837"/>
      <c r="C63" s="837"/>
      <c r="D63" s="837"/>
      <c r="E63" s="837"/>
      <c r="F63" s="837"/>
      <c r="G63" s="837"/>
      <c r="H63" s="837"/>
      <c r="I63" s="837"/>
      <c r="J63" s="42"/>
      <c r="K63" s="40"/>
      <c r="L63" s="40"/>
      <c r="M63" s="40"/>
      <c r="N63" s="40"/>
      <c r="O63" s="40"/>
    </row>
    <row r="64" spans="1:15" ht="14.25" customHeight="1">
      <c r="J64" s="42"/>
      <c r="K64" s="40"/>
      <c r="L64" s="40"/>
      <c r="M64" s="40"/>
      <c r="N64" s="40"/>
      <c r="O64" s="40"/>
    </row>
    <row r="65" spans="1:15" ht="14.25" customHeight="1">
      <c r="B65" s="1395" t="s">
        <v>189</v>
      </c>
      <c r="C65" s="1396"/>
      <c r="D65" s="1396"/>
      <c r="E65" s="1396"/>
      <c r="F65" s="1396"/>
      <c r="G65" s="1396"/>
      <c r="H65" s="1396"/>
      <c r="I65" s="1397"/>
      <c r="J65" s="42"/>
      <c r="K65" s="40"/>
      <c r="L65" s="40"/>
      <c r="M65" s="40"/>
      <c r="N65" s="40"/>
      <c r="O65" s="40"/>
    </row>
    <row r="66" spans="1:15" s="19" customFormat="1" ht="43.2">
      <c r="A66" s="70"/>
      <c r="B66" s="211" t="s">
        <v>75</v>
      </c>
      <c r="C66" s="211" t="s">
        <v>202</v>
      </c>
      <c r="D66" s="211" t="s">
        <v>264</v>
      </c>
      <c r="E66" s="211" t="s">
        <v>79</v>
      </c>
      <c r="F66" s="211" t="s">
        <v>77</v>
      </c>
      <c r="G66" s="211" t="s">
        <v>78</v>
      </c>
      <c r="H66" s="211" t="s">
        <v>204</v>
      </c>
      <c r="I66" s="211" t="s">
        <v>205</v>
      </c>
      <c r="J66" s="42"/>
      <c r="K66" s="40"/>
      <c r="L66" s="40"/>
      <c r="M66" s="40"/>
      <c r="N66" s="40"/>
      <c r="O66" s="40"/>
    </row>
    <row r="67" spans="1:15" s="19" customFormat="1" ht="12.75" customHeight="1">
      <c r="A67" s="189" t="str">
        <f>INDEX('Aides traitements'!$A$5:$A$26,'Page de garde'!$C$4,1)</f>
        <v>Paul Bert</v>
      </c>
      <c r="B67" s="304">
        <f>VLOOKUP($A$67,'Base de données'!$AN$9:$BL$92,18,FALSE)/(VLOOKUP($A$67,'Base de données'!$AN$9:$BL$92,18,FALSE)+VLOOKUP($A$67,'Base de données'!$AN$9:$BL$92,19,FALSE)+VLOOKUP($A$67,'Base de données'!$AN$9:$BL$92,20,FALSE)+VLOOKUP($A$67,'Base de données'!$AN$9:$BL$92,21,FALSE)+VLOOKUP($A$67,'Base de données'!$AN$9:$BL$92,22,FALSE)+VLOOKUP($A$67,'Base de données'!$AN$9:$BL$92,23,FALSE)+VLOOKUP($A$67,'Base de données'!$AN$9:$BL$92,24,FALSE)+VLOOKUP($A$67,'Base de données'!$AN$9:$BL$92,25,FALSE))</f>
        <v>0</v>
      </c>
      <c r="C67" s="304">
        <f>VLOOKUP($A$67,'Base de données'!$AN$9:$BL$92,19,FALSE)/(VLOOKUP($A$67,'Base de données'!$AN$9:$BL$92,18,FALSE)+VLOOKUP($A$67,'Base de données'!$AN$9:$BL$92,19,FALSE)+VLOOKUP($A$67,'Base de données'!$AN$9:$BL$92,20,FALSE)+VLOOKUP($A$67,'Base de données'!$AN$9:$BL$92,21,FALSE)+VLOOKUP($A$67,'Base de données'!$AN$9:$BL$92,22,FALSE)+VLOOKUP($A$67,'Base de données'!$AN$9:$BL$92,23,FALSE)+VLOOKUP($A$67,'Base de données'!$AN$9:$BL$92,24,FALSE)+VLOOKUP($A$67,'Base de données'!$AN$9:$BL$92,25,FALSE))</f>
        <v>2.8800514665406059E-2</v>
      </c>
      <c r="D67" s="304">
        <f>VLOOKUP($A$67,'Base de données'!$AN$9:$BL$92,20,FALSE)/(VLOOKUP($A$67,'Base de données'!$AN$9:$BL$92,18,FALSE)+VLOOKUP($A$67,'Base de données'!$AN$9:$BL$92,19,FALSE)+VLOOKUP($A$67,'Base de données'!$AN$9:$BL$92,20,FALSE)+VLOOKUP($A$67,'Base de données'!$AN$9:$BL$92,21,FALSE)+VLOOKUP($A$67,'Base de données'!$AN$9:$BL$92,22,FALSE)+VLOOKUP($A$67,'Base de données'!$AN$9:$BL$92,23,FALSE)+VLOOKUP($A$67,'Base de données'!$AN$9:$BL$92,24,FALSE)+VLOOKUP($A$67,'Base de données'!$AN$9:$BL$92,25,FALSE))</f>
        <v>0.13565589136647963</v>
      </c>
      <c r="E67" s="304">
        <f>VLOOKUP($A$67,'Base de données'!$AN$9:$BL$92,21,FALSE)/(VLOOKUP($A$67,'Base de données'!$AN$9:$BL$92,18,FALSE)+VLOOKUP($A$67,'Base de données'!$AN$9:$BL$92,19,FALSE)+VLOOKUP($A$67,'Base de données'!$AN$9:$BL$92,20,FALSE)+VLOOKUP($A$67,'Base de données'!$AN$9:$BL$92,21,FALSE)+VLOOKUP($A$67,'Base de données'!$AN$9:$BL$92,22,FALSE)+VLOOKUP($A$67,'Base de données'!$AN$9:$BL$92,23,FALSE)+VLOOKUP($A$67,'Base de données'!$AN$9:$BL$92,24,FALSE)+VLOOKUP($A$67,'Base de données'!$AN$9:$BL$92,25,FALSE))</f>
        <v>0.15982217163429294</v>
      </c>
      <c r="F67" s="304">
        <f>VLOOKUP($A$67,'Base de données'!$AN$9:$BL$92,22,FALSE)/(VLOOKUP($A$67,'Base de données'!$AN$9:$BL$92,18,FALSE)+VLOOKUP($A$67,'Base de données'!$AN$9:$BL$92,19,FALSE)+VLOOKUP($A$67,'Base de données'!$AN$9:$BL$92,20,FALSE)+VLOOKUP($A$67,'Base de données'!$AN$9:$BL$92,21,FALSE)+VLOOKUP($A$67,'Base de données'!$AN$9:$BL$92,22,FALSE)+VLOOKUP($A$67,'Base de données'!$AN$9:$BL$92,23,FALSE)+VLOOKUP($A$67,'Base de données'!$AN$9:$BL$92,24,FALSE)+VLOOKUP($A$67,'Base de données'!$AN$9:$BL$92,25,FALSE))</f>
        <v>0.11749165037740665</v>
      </c>
      <c r="G67" s="304">
        <f>VLOOKUP($A$67,'Base de données'!$AN$9:$BL$92,23,FALSE)/(VLOOKUP($A$67,'Base de données'!$AN$9:$BL$92,18,FALSE)+VLOOKUP($A$67,'Base de données'!$AN$9:$BL$92,19,FALSE)+VLOOKUP($A$67,'Base de données'!$AN$9:$BL$92,20,FALSE)+VLOOKUP($A$67,'Base de données'!$AN$9:$BL$92,21,FALSE)+VLOOKUP($A$67,'Base de données'!$AN$9:$BL$92,22,FALSE)+VLOOKUP($A$67,'Base de données'!$AN$9:$BL$92,23,FALSE)+VLOOKUP($A$67,'Base de données'!$AN$9:$BL$92,24,FALSE)+VLOOKUP($A$67,'Base de données'!$AN$9:$BL$92,25,FALSE))</f>
        <v>6.2389513730057897E-2</v>
      </c>
      <c r="H67" s="304">
        <f>VLOOKUP($A$67,'Base de données'!$AN$9:$BL$92,24,FALSE)/(VLOOKUP($A$67,'Base de données'!$AN$9:$BL$92,18,FALSE)+VLOOKUP($A$67,'Base de données'!$AN$9:$BL$92,19,FALSE)+VLOOKUP($A$67,'Base de données'!$AN$9:$BL$92,20,FALSE)+VLOOKUP($A$67,'Base de données'!$AN$9:$BL$92,21,FALSE)+VLOOKUP($A$67,'Base de données'!$AN$9:$BL$92,22,FALSE)+VLOOKUP($A$67,'Base de données'!$AN$9:$BL$92,23,FALSE)+VLOOKUP($A$67,'Base de données'!$AN$9:$BL$92,24,FALSE)+VLOOKUP($A$67,'Base de données'!$AN$9:$BL$92,25,FALSE))</f>
        <v>0.27113977160155783</v>
      </c>
      <c r="I67" s="304">
        <f>VLOOKUP($A$67,'Base de données'!$AN$9:$BL$92,25,FALSE)/(VLOOKUP($A$67,'Base de données'!$AN$9:$BL$92,18,FALSE)+VLOOKUP($A$67,'Base de données'!$AN$9:$BL$92,19,FALSE)+VLOOKUP($A$67,'Base de données'!$AN$9:$BL$92,20,FALSE)+VLOOKUP($A$67,'Base de données'!$AN$9:$BL$92,21,FALSE)+VLOOKUP($A$67,'Base de données'!$AN$9:$BL$92,22,FALSE)+VLOOKUP($A$67,'Base de données'!$AN$9:$BL$92,23,FALSE)+VLOOKUP($A$67,'Base de données'!$AN$9:$BL$92,24,FALSE)+VLOOKUP($A$67,'Base de données'!$AN$9:$BL$92,25,FALSE))</f>
        <v>0.22470048662479911</v>
      </c>
      <c r="J67" s="42"/>
      <c r="K67" s="40"/>
      <c r="L67" s="40"/>
      <c r="M67" s="40"/>
      <c r="N67" s="40"/>
      <c r="O67" s="40"/>
    </row>
    <row r="68" spans="1:15" s="19" customFormat="1" ht="12.75" customHeight="1">
      <c r="A68" s="190" t="str">
        <f>VLOOKUP(A67,'Aides traitements'!$A$5:$B$26,2,FALSE)</f>
        <v>Tours nord</v>
      </c>
      <c r="B68" s="123">
        <f t="shared" ref="B68:I68" si="0">(B61/SUM($B61:$I61))</f>
        <v>1.4742008480899156E-4</v>
      </c>
      <c r="C68" s="123">
        <f t="shared" si="0"/>
        <v>2.2580773161686527E-2</v>
      </c>
      <c r="D68" s="123">
        <f t="shared" si="0"/>
        <v>8.390966364299611E-2</v>
      </c>
      <c r="E68" s="123">
        <f t="shared" si="0"/>
        <v>0.16118984998739266</v>
      </c>
      <c r="F68" s="123">
        <f t="shared" si="0"/>
        <v>0.19141042961637766</v>
      </c>
      <c r="G68" s="123">
        <f t="shared" si="0"/>
        <v>0.11311549393446173</v>
      </c>
      <c r="H68" s="123">
        <f t="shared" si="0"/>
        <v>0.27051132583876147</v>
      </c>
      <c r="I68" s="123">
        <f t="shared" si="0"/>
        <v>0.15713504373351481</v>
      </c>
      <c r="J68" s="42"/>
      <c r="K68" s="40"/>
      <c r="L68" s="40"/>
      <c r="M68" s="40"/>
      <c r="N68" s="40"/>
      <c r="O68" s="40"/>
    </row>
    <row r="69" spans="1:15" s="19" customFormat="1" ht="12.75" customHeight="1">
      <c r="A69" s="190" t="s">
        <v>0</v>
      </c>
      <c r="B69" s="123">
        <f t="shared" ref="B69:I69" si="1">(B62/SUM($B62:$I62))</f>
        <v>2.9420668137590772E-4</v>
      </c>
      <c r="C69" s="123">
        <f t="shared" si="1"/>
        <v>2.3185529238615395E-2</v>
      </c>
      <c r="D69" s="123">
        <f t="shared" si="1"/>
        <v>0.11484319131386841</v>
      </c>
      <c r="E69" s="123">
        <f t="shared" si="1"/>
        <v>0.14968026189504749</v>
      </c>
      <c r="F69" s="123">
        <f t="shared" si="1"/>
        <v>0.16094351878530258</v>
      </c>
      <c r="G69" s="123">
        <f t="shared" si="1"/>
        <v>9.5275908944573495E-2</v>
      </c>
      <c r="H69" s="123">
        <f t="shared" si="1"/>
        <v>0.22952649143534548</v>
      </c>
      <c r="I69" s="123">
        <f t="shared" si="1"/>
        <v>0.22625089170587112</v>
      </c>
      <c r="J69" s="42"/>
      <c r="K69" s="40"/>
      <c r="L69" s="40"/>
      <c r="M69" s="40"/>
      <c r="N69" s="40"/>
      <c r="O69" s="40"/>
    </row>
    <row r="70" spans="1:15" s="19" customFormat="1" ht="12.75" customHeight="1">
      <c r="A70" s="836" t="s">
        <v>304</v>
      </c>
      <c r="B70" s="849"/>
      <c r="C70" s="849"/>
      <c r="D70" s="849"/>
      <c r="E70" s="849"/>
      <c r="F70" s="849"/>
      <c r="G70" s="849"/>
      <c r="H70" s="849"/>
      <c r="I70" s="849"/>
      <c r="J70" s="42"/>
      <c r="K70" s="40"/>
      <c r="L70" s="40"/>
      <c r="M70" s="40"/>
      <c r="N70" s="40"/>
      <c r="O70" s="40"/>
    </row>
    <row r="71" spans="1:15" s="19" customFormat="1" ht="13.2" customHeight="1">
      <c r="A71" s="108" t="str">
        <f>CONCATENATE("Source : Insee, RP",'Aides traitements'!$I$11," exploitation principale et complémentaire")</f>
        <v>Source : Insee, RP2020 exploitation principale et complémentaire</v>
      </c>
      <c r="B71" s="226"/>
      <c r="C71" s="226"/>
      <c r="D71" s="226"/>
      <c r="E71" s="226"/>
      <c r="F71" s="226"/>
      <c r="G71" s="226"/>
      <c r="H71" s="226"/>
      <c r="I71" s="226"/>
      <c r="J71" s="42"/>
      <c r="K71" s="40"/>
      <c r="L71" s="40"/>
      <c r="M71" s="40"/>
      <c r="N71" s="40"/>
      <c r="O71" s="40"/>
    </row>
    <row r="72" spans="1:15" s="19" customFormat="1" ht="24.6" customHeight="1">
      <c r="A72" s="83"/>
      <c r="B72" s="83"/>
      <c r="C72" s="83"/>
      <c r="D72" s="83"/>
      <c r="E72" s="83"/>
      <c r="F72" s="83"/>
      <c r="G72" s="83"/>
      <c r="H72" s="83"/>
      <c r="I72" s="83"/>
      <c r="J72" s="42"/>
      <c r="K72" s="40"/>
      <c r="L72" s="40"/>
      <c r="M72" s="40"/>
      <c r="N72" s="40"/>
      <c r="O72" s="40"/>
    </row>
    <row r="73" spans="1:15">
      <c r="I73"/>
      <c r="J73" s="42"/>
      <c r="K73" s="40"/>
      <c r="L73" s="40"/>
      <c r="M73" s="40"/>
      <c r="N73" s="40"/>
      <c r="O73" s="40"/>
    </row>
    <row r="74" spans="1:15">
      <c r="I74"/>
      <c r="J74" s="42"/>
      <c r="K74" s="40"/>
      <c r="L74" s="40"/>
      <c r="M74" s="40"/>
      <c r="N74" s="40"/>
      <c r="O74" s="40"/>
    </row>
    <row r="75" spans="1:15">
      <c r="J75"/>
      <c r="K75"/>
      <c r="L75"/>
      <c r="M75"/>
      <c r="N75"/>
      <c r="O75"/>
    </row>
    <row r="76" spans="1:15">
      <c r="J76"/>
      <c r="K76"/>
      <c r="L76"/>
      <c r="M76"/>
      <c r="N76"/>
      <c r="O76"/>
    </row>
    <row r="77" spans="1:15">
      <c r="J77"/>
      <c r="K77"/>
      <c r="L77"/>
      <c r="M77"/>
      <c r="N77"/>
      <c r="O77"/>
    </row>
    <row r="78" spans="1:15">
      <c r="J78"/>
      <c r="K78"/>
      <c r="L78"/>
      <c r="M78"/>
      <c r="N78"/>
      <c r="O78"/>
    </row>
    <row r="79" spans="1:15">
      <c r="J79"/>
      <c r="K79"/>
      <c r="L79"/>
      <c r="M79"/>
      <c r="N79"/>
      <c r="O79"/>
    </row>
    <row r="80" spans="1:15">
      <c r="J80"/>
      <c r="K80"/>
      <c r="L80"/>
      <c r="M80"/>
      <c r="N80"/>
      <c r="O80"/>
    </row>
    <row r="81" spans="10:15">
      <c r="J81"/>
      <c r="K81"/>
      <c r="L81"/>
      <c r="M81"/>
      <c r="N81"/>
      <c r="O81"/>
    </row>
    <row r="82" spans="10:15">
      <c r="J82"/>
      <c r="K82"/>
      <c r="L82"/>
      <c r="M82"/>
      <c r="N82"/>
      <c r="O82"/>
    </row>
    <row r="83" spans="10:15">
      <c r="J83"/>
      <c r="K83"/>
      <c r="L83"/>
      <c r="M83"/>
      <c r="N83"/>
      <c r="O83"/>
    </row>
    <row r="84" spans="10:15">
      <c r="J84"/>
      <c r="K84"/>
      <c r="L84"/>
      <c r="M84"/>
      <c r="N84"/>
      <c r="O84"/>
    </row>
  </sheetData>
  <sheetProtection algorithmName="SHA-512" hashValue="1lClbooSn+RHt4UWAPcuLwysFK2KDvuM40y8c/rloDQlgAdbTVBx58w/v2UWrf545GF/LKsJG+31z6Fn+k/auw==" saltValue="ect/BeziHXOKXak7wN8Pgg==" spinCount="100000" sheet="1" objects="1" scenarios="1"/>
  <mergeCells count="5">
    <mergeCell ref="K6:M7"/>
    <mergeCell ref="B58:I58"/>
    <mergeCell ref="B65:I65"/>
    <mergeCell ref="A58:A59"/>
    <mergeCell ref="K14:M15"/>
  </mergeCells>
  <printOptions horizontalCentered="1"/>
  <pageMargins left="0.23622047244094491" right="0.19685039370078741" top="0.31496062992125984" bottom="0.31496062992125984" header="0.23622047244094491" footer="0.19685039370078741"/>
  <pageSetup paperSize="8" scale="88" orientation="portrait" r:id="rId1"/>
  <headerFooter scaleWithDoc="0">
    <oddFooter>&amp;LDGPU - Ville de Tours&amp;CPage &amp;P&amp;RPortrait_Tours_RP2020.xlsx</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rgb="FF67A6A5"/>
    <pageSetUpPr fitToPage="1"/>
  </sheetPr>
  <dimension ref="A1:R78"/>
  <sheetViews>
    <sheetView showGridLines="0" topLeftCell="A52" zoomScaleNormal="100" zoomScaleSheetLayoutView="115" zoomScalePageLayoutView="115" workbookViewId="0">
      <selection activeCell="E8" sqref="E8"/>
    </sheetView>
  </sheetViews>
  <sheetFormatPr baseColWidth="10" defaultColWidth="9.6640625" defaultRowHeight="13.2"/>
  <cols>
    <col min="1" max="1" width="23.6640625" customWidth="1"/>
    <col min="2" max="4" width="9.5546875" customWidth="1"/>
    <col min="5" max="5" width="9.33203125" customWidth="1"/>
    <col min="6" max="6" width="10" customWidth="1"/>
    <col min="7" max="7" width="11.6640625" customWidth="1"/>
    <col min="8" max="8" width="23.6640625" customWidth="1"/>
    <col min="9" max="13" width="9.5546875" customWidth="1"/>
    <col min="14" max="15" width="7.5546875" customWidth="1"/>
    <col min="16" max="16" width="7.33203125" bestFit="1" customWidth="1"/>
    <col min="17" max="17" width="5.44140625" customWidth="1"/>
  </cols>
  <sheetData>
    <row r="1" spans="1:17" s="116" customFormat="1" ht="19.5" customHeight="1">
      <c r="A1" s="443" t="s">
        <v>360</v>
      </c>
      <c r="B1" s="351"/>
      <c r="C1" s="351"/>
      <c r="D1" s="351"/>
      <c r="E1" s="351"/>
      <c r="F1" s="351"/>
      <c r="G1" s="351"/>
      <c r="H1" s="351"/>
      <c r="I1" s="351"/>
      <c r="J1" s="351"/>
      <c r="K1" s="351"/>
      <c r="L1" s="351"/>
      <c r="M1" s="395" t="str">
        <f>CONCATENATE("Les données concernent les territoires en vigueur au 1er janvier"," ", 'Aides traitements'!L4)</f>
        <v>Les données concernent les territoires en vigueur au 1er janvier 2022</v>
      </c>
    </row>
    <row r="2" spans="1:17" ht="14.25" customHeight="1">
      <c r="A2" s="14"/>
      <c r="B2" s="14"/>
      <c r="C2" s="14"/>
      <c r="D2" s="14"/>
      <c r="E2" s="14"/>
      <c r="F2" s="14"/>
      <c r="G2" s="14"/>
      <c r="H2" s="14"/>
      <c r="I2" s="14"/>
      <c r="J2" s="14"/>
      <c r="K2" s="14"/>
      <c r="L2" s="14"/>
      <c r="M2" s="14"/>
    </row>
    <row r="3" spans="1:17" ht="15" customHeight="1">
      <c r="A3" s="396" t="s">
        <v>243</v>
      </c>
      <c r="B3" s="385"/>
      <c r="C3" s="385"/>
      <c r="D3" s="385"/>
      <c r="E3" s="385"/>
      <c r="F3" s="385"/>
      <c r="G3" s="385"/>
      <c r="H3" s="385"/>
      <c r="I3" s="386"/>
      <c r="J3" s="386"/>
      <c r="K3" s="386"/>
      <c r="L3" s="386"/>
      <c r="M3" s="386"/>
    </row>
    <row r="4" spans="1:17" ht="14.25" customHeight="1">
      <c r="A4" s="14"/>
      <c r="B4" s="14"/>
      <c r="C4" s="14"/>
      <c r="D4" s="14"/>
      <c r="E4" s="14"/>
      <c r="F4" s="14"/>
      <c r="G4" s="14"/>
      <c r="H4" s="14"/>
      <c r="I4" s="14"/>
      <c r="J4" s="14"/>
      <c r="K4" s="14"/>
      <c r="L4" s="14"/>
      <c r="M4" s="14"/>
    </row>
    <row r="5" spans="1:17" ht="18.75" customHeight="1">
      <c r="A5" s="1405" t="s">
        <v>196</v>
      </c>
      <c r="B5" s="1411" t="s">
        <v>86</v>
      </c>
      <c r="C5" s="1411"/>
      <c r="D5" s="1411" t="s">
        <v>256</v>
      </c>
      <c r="E5" s="1410" t="s">
        <v>236</v>
      </c>
      <c r="F5" s="1410"/>
      <c r="G5" s="68"/>
      <c r="H5" s="1405" t="s">
        <v>197</v>
      </c>
      <c r="I5" s="1411" t="s">
        <v>86</v>
      </c>
      <c r="J5" s="1411"/>
      <c r="K5" s="1411" t="s">
        <v>256</v>
      </c>
      <c r="L5" s="1410" t="s">
        <v>236</v>
      </c>
      <c r="M5" s="1410"/>
    </row>
    <row r="6" spans="1:17" ht="21.75" customHeight="1">
      <c r="A6" s="1405"/>
      <c r="B6" s="855">
        <f>INDEX('Aides traitements'!$E$4:$E$5,'Page de garde'!$G$4,1)</f>
        <v>2009</v>
      </c>
      <c r="C6" s="855">
        <f>'Aides traitements'!$I$11</f>
        <v>2020</v>
      </c>
      <c r="D6" s="1411"/>
      <c r="E6" s="856">
        <f>INDEX('Aides traitements'!$E$4:$E$5,'Page de garde'!$G$4,1)</f>
        <v>2009</v>
      </c>
      <c r="F6" s="856">
        <f>'Aides traitements'!$I$11</f>
        <v>2020</v>
      </c>
      <c r="G6" s="66"/>
      <c r="H6" s="1405"/>
      <c r="I6" s="855">
        <f>INDEX('Aides traitements'!$E$4:$E$5,'Page de garde'!$G$4,1)</f>
        <v>2009</v>
      </c>
      <c r="J6" s="855">
        <f>'Aides traitements'!$I$11</f>
        <v>2020</v>
      </c>
      <c r="K6" s="1411"/>
      <c r="L6" s="856">
        <f>INDEX('Aides traitements'!$E$4:$E$5,'Page de garde'!$G$4,1)</f>
        <v>2009</v>
      </c>
      <c r="M6" s="856">
        <f>'Aides traitements'!$I$11</f>
        <v>2020</v>
      </c>
      <c r="O6" s="37"/>
      <c r="P6" s="37"/>
    </row>
    <row r="7" spans="1:17" ht="13.8">
      <c r="A7" s="189" t="str">
        <f>INDEX('Aides traitements'!$A$5:$A$26,'Page de garde'!$C$4,1)</f>
        <v>Paul Bert</v>
      </c>
      <c r="B7" s="212">
        <f>IF($B$6='Aides traitements'!$E$4,VLOOKUP($A7,'Base de données'!$BN$9:$CF$91,2,FALSE),VLOOKUP($A7,'Base de données'!$BN$9:$CF$91,8,FALSE))</f>
        <v>268.52852899999999</v>
      </c>
      <c r="C7" s="213">
        <f>VLOOKUP($A7,'Base de données'!$BN$9:$CF$91,14,FALSE)</f>
        <v>384.01118748261598</v>
      </c>
      <c r="D7" s="214">
        <f>((C7/B7)^(1/(C$6-B$6)))-1</f>
        <v>3.3054039818094516E-2</v>
      </c>
      <c r="E7" s="215">
        <f>IF($B$6='Aides traitements'!$E$4,B7/VLOOKUP($A7,'Base de données'!$B$9:$E$91,2,FALSE),B7/VLOOKUP($A7,'Base de données'!$B$9:$E$91,3,FALSE))</f>
        <v>9.1781346223649751E-2</v>
      </c>
      <c r="F7" s="215">
        <f>C7/VLOOKUP($A7,'Base de données'!$B$9:$E$91,4,FALSE)</f>
        <v>0.11298684869204195</v>
      </c>
      <c r="G7" s="543"/>
      <c r="H7" s="189" t="str">
        <f>INDEX('Aides traitements'!$A$5:$A$26,'Page de garde'!$C$4,1)</f>
        <v>Paul Bert</v>
      </c>
      <c r="I7" s="212">
        <f>IF($B$6='Aides traitements'!$E$4,VLOOKUP($A7,'Base de données'!$BN$9:$CF$91,3,FALSE),VLOOKUP($A7,'Base de données'!$BN$9:$CF$91,9,FALSE))</f>
        <v>1063.1774789999999</v>
      </c>
      <c r="J7" s="213">
        <f>VLOOKUP($A7,'Base de données'!$BN$9:$CF$91,15,FALSE)</f>
        <v>1132.85897000302</v>
      </c>
      <c r="K7" s="214">
        <f>((J7/I7)^(1/(J$6-I$6)))-1</f>
        <v>5.7878172051326615E-3</v>
      </c>
      <c r="L7" s="215">
        <f>IF($B$6='Aides traitements'!$E$4,I7/VLOOKUP($A7,'Base de données'!$B$9:$E$91,2,FALSE),I7/VLOOKUP($A7,'Base de données'!$B$9:$E$91,3,FALSE))</f>
        <v>0.36338731180881756</v>
      </c>
      <c r="M7" s="215">
        <f>J7/VLOOKUP($A7,'Base de données'!$B$9:$E$91,4,FALSE)</f>
        <v>0.33331884383953819</v>
      </c>
      <c r="N7" s="66"/>
      <c r="O7" s="38"/>
      <c r="P7" s="51"/>
      <c r="Q7" s="51"/>
    </row>
    <row r="8" spans="1:17" ht="13.8">
      <c r="A8" s="190" t="str">
        <f>VLOOKUP(A7,'Aides traitements'!$A$5:$B$26,2,FALSE)</f>
        <v>Tours nord</v>
      </c>
      <c r="B8" s="216">
        <f>IF($B$6='Aides traitements'!$E$4,VLOOKUP($A8,'Base de données'!$BN$9:$CF$91,2,FALSE),VLOOKUP($A8,'Base de données'!$BN$9:$CF$91,8,FALSE))</f>
        <v>5243.5407729999997</v>
      </c>
      <c r="C8" s="217">
        <f>VLOOKUP($A8,'Base de données'!$BN$9:$CF$91,14,FALSE)</f>
        <v>6085.4996477118711</v>
      </c>
      <c r="D8" s="218">
        <f t="shared" ref="D8:D9" si="0">((C8/B8)^(1/(C$6-B$6)))-1</f>
        <v>1.3629486420992709E-2</v>
      </c>
      <c r="E8" s="215">
        <f>IF($B$6='Aides traitements'!$E$4,B8/VLOOKUP($A8,'Base de données'!$B$9:$E$91,2,FALSE),B8/VLOOKUP($A8,'Base de données'!$B$9:$E$91,3,FALSE))</f>
        <v>0.14406483677419293</v>
      </c>
      <c r="F8" s="215">
        <f>C8/VLOOKUP($A8,'Base de données'!$B$9:$E$91,4,FALSE)</f>
        <v>0.14511547858471616</v>
      </c>
      <c r="G8" s="66"/>
      <c r="H8" s="190" t="str">
        <f>VLOOKUP(H7,'Aides traitements'!$A$5:$B$26,2,FALSE)</f>
        <v>Tours nord</v>
      </c>
      <c r="I8" s="216">
        <f>IF($B$6='Aides traitements'!$E$4,VLOOKUP($A8,'Base de données'!$BN$9:$CF$91,3,FALSE),VLOOKUP($A8,'Base de données'!$BN$9:$CF$91,9,FALSE))</f>
        <v>8640.4631910000007</v>
      </c>
      <c r="J8" s="217">
        <f>VLOOKUP($A8,'Base de données'!$BN$9:$CF$91,15,FALSE)</f>
        <v>10022.246055597332</v>
      </c>
      <c r="K8" s="218">
        <f t="shared" ref="K8:K9" si="1">((J8/I8)^(1/(J$6-I$6)))-1</f>
        <v>1.3577810333050833E-2</v>
      </c>
      <c r="L8" s="215">
        <f>IF($B$6='Aides traitements'!$E$4,I8/VLOOKUP($A8,'Base de données'!$B$9:$E$91,2,FALSE),I8/VLOOKUP($A8,'Base de données'!$B$9:$E$92,3,FALSE))</f>
        <v>0.23739434347006219</v>
      </c>
      <c r="M8" s="215">
        <f>J8/VLOOKUP($A8,'Base de données'!$B$9:$E$91,4,FALSE)</f>
        <v>0.23899155649423695</v>
      </c>
      <c r="N8" s="66"/>
      <c r="O8" s="38"/>
      <c r="P8" s="51"/>
      <c r="Q8" s="51"/>
    </row>
    <row r="9" spans="1:17" ht="13.8">
      <c r="A9" s="190" t="s">
        <v>0</v>
      </c>
      <c r="B9" s="216">
        <f>IF($B$6='Aides traitements'!$E$4,VLOOKUP($A9,'Base de données'!$BN$9:$CF$92,2,FALSE),VLOOKUP($A9,'Base de données'!$BN$9:$CF$92,8,FALSE))</f>
        <v>18788.409133000001</v>
      </c>
      <c r="C9" s="217">
        <f>VLOOKUP($A9,'Base de données'!$BN$9:$CF$91,14,FALSE)</f>
        <v>19589.12504507156</v>
      </c>
      <c r="D9" s="218">
        <f t="shared" si="0"/>
        <v>3.8012449653037628E-3</v>
      </c>
      <c r="E9" s="215">
        <f>IF($B$6='Aides traitements'!$E$4,B9/VLOOKUP($A9,'Base de données'!$B$9:$E$91,2,FALSE),B9/VLOOKUP($A9,'Base de données'!$B$9:$E$91,3,FALSE))</f>
        <v>0.13894902404471224</v>
      </c>
      <c r="F9" s="215">
        <f>C9/VLOOKUP($A9,'Base de données'!$B$9:$E$91,4,FALSE)</f>
        <v>0.14210464305456338</v>
      </c>
      <c r="G9" s="66"/>
      <c r="H9" s="190" t="s">
        <v>0</v>
      </c>
      <c r="I9" s="216">
        <f>IF($B$6='Aides traitements'!$E$4,VLOOKUP($A9,'Base de données'!$BN$9:$CF$91,3,FALSE),VLOOKUP($A9,'Base de données'!$BN$9:$CF$91,9,FALSE))</f>
        <v>41203.564195000006</v>
      </c>
      <c r="J9" s="217">
        <f>VLOOKUP($A9,'Base de données'!$BN$9:$CF$91,15,FALSE)</f>
        <v>40220.218384588268</v>
      </c>
      <c r="K9" s="218">
        <f t="shared" si="1"/>
        <v>-2.1934951403650427E-3</v>
      </c>
      <c r="L9" s="215">
        <f>IF($B$6='Aides traitements'!$E$4,I9/VLOOKUP($A9,'Base de données'!$B$9:$E$91,2,FALSE),I9/VLOOKUP($A9,'Base de données'!$B$9:$E$92,3,FALSE))</f>
        <v>0.3047195210372099</v>
      </c>
      <c r="M9" s="215">
        <f>J9/VLOOKUP($A9,'Base de données'!$B$9:$E$91,4,FALSE)</f>
        <v>0.29176799698649458</v>
      </c>
      <c r="N9" s="66"/>
      <c r="O9" s="38"/>
      <c r="P9" s="51"/>
      <c r="Q9" s="51"/>
    </row>
    <row r="10" spans="1:17" ht="13.8">
      <c r="A10" s="836" t="s">
        <v>304</v>
      </c>
      <c r="B10" s="837"/>
      <c r="C10" s="857"/>
      <c r="D10" s="858"/>
      <c r="E10" s="859"/>
      <c r="F10" s="859"/>
      <c r="G10" s="68"/>
      <c r="H10" s="836" t="s">
        <v>304</v>
      </c>
      <c r="I10" s="837"/>
      <c r="J10" s="857"/>
      <c r="K10" s="858"/>
      <c r="L10" s="859"/>
      <c r="M10" s="859"/>
      <c r="N10" s="66"/>
      <c r="O10" s="38"/>
      <c r="P10" s="51"/>
      <c r="Q10" s="51"/>
    </row>
    <row r="11" spans="1:17" ht="11.25" customHeight="1">
      <c r="A11" s="224" t="str">
        <f>CONCATENATE("Sources : Insee, RP",INDEX('Aides traitements'!$E$4:$E$5,'Page de garde'!$G$4,1)," et RP",'Aides traitements'!$I$11," exploitations principales et complémentaires")</f>
        <v>Sources : Insee, RP2009 et RP2020 exploitations principales et complémentaires</v>
      </c>
      <c r="B11" s="15"/>
      <c r="C11" s="15"/>
      <c r="D11" s="14"/>
      <c r="E11" s="15"/>
      <c r="F11" s="14"/>
      <c r="G11" s="14"/>
      <c r="H11" s="15"/>
      <c r="I11" s="15"/>
      <c r="J11" s="15"/>
      <c r="K11" s="14"/>
      <c r="L11" s="15"/>
      <c r="M11" s="15"/>
    </row>
    <row r="12" spans="1:17" ht="14.25" customHeight="1">
      <c r="A12" s="14"/>
      <c r="B12" s="14"/>
      <c r="C12" s="14"/>
      <c r="D12" s="14"/>
      <c r="E12" s="14"/>
      <c r="F12" s="14"/>
      <c r="G12" s="14"/>
      <c r="H12" s="14"/>
      <c r="I12" s="14"/>
      <c r="J12" s="14"/>
      <c r="K12" s="14"/>
      <c r="L12" s="14"/>
      <c r="M12" s="14"/>
    </row>
    <row r="13" spans="1:17" ht="14.25" customHeight="1">
      <c r="A13" s="14"/>
      <c r="B13" s="14"/>
      <c r="C13" s="14"/>
      <c r="D13" s="14"/>
      <c r="E13" s="14"/>
      <c r="G13" s="17"/>
      <c r="H13" s="18"/>
      <c r="I13" s="14"/>
      <c r="J13" s="14"/>
      <c r="L13" s="14"/>
      <c r="M13" s="14"/>
    </row>
    <row r="14" spans="1:17" ht="15" customHeight="1">
      <c r="A14" s="396" t="s">
        <v>109</v>
      </c>
      <c r="B14" s="385"/>
      <c r="C14" s="385"/>
      <c r="D14" s="385"/>
      <c r="E14" s="385"/>
      <c r="F14" s="385"/>
      <c r="G14" s="385"/>
      <c r="H14" s="385"/>
      <c r="I14" s="386"/>
      <c r="J14" s="386"/>
      <c r="K14" s="386"/>
      <c r="L14" s="386"/>
      <c r="M14" s="386"/>
    </row>
    <row r="15" spans="1:17" ht="14.25" customHeight="1">
      <c r="A15" s="14"/>
      <c r="B15" s="14"/>
      <c r="C15" s="14"/>
      <c r="D15" s="14"/>
      <c r="E15" s="14"/>
      <c r="F15" s="14"/>
      <c r="G15" s="14"/>
      <c r="H15" s="14"/>
      <c r="I15" s="14"/>
      <c r="J15" s="14"/>
      <c r="K15" s="14"/>
      <c r="L15" s="14"/>
      <c r="M15" s="14"/>
    </row>
    <row r="16" spans="1:17" ht="18.75" customHeight="1">
      <c r="A16" s="1405" t="s">
        <v>198</v>
      </c>
      <c r="B16" s="1411" t="s">
        <v>86</v>
      </c>
      <c r="C16" s="1411"/>
      <c r="D16" s="1411" t="s">
        <v>256</v>
      </c>
      <c r="E16" s="1410" t="s">
        <v>236</v>
      </c>
      <c r="F16" s="1410"/>
      <c r="G16" s="68"/>
      <c r="H16" s="1405" t="s">
        <v>199</v>
      </c>
      <c r="I16" s="1411" t="s">
        <v>86</v>
      </c>
      <c r="J16" s="1411"/>
      <c r="K16" s="1411" t="s">
        <v>256</v>
      </c>
      <c r="L16" s="1410" t="s">
        <v>236</v>
      </c>
      <c r="M16" s="1410"/>
    </row>
    <row r="17" spans="1:18" ht="21" customHeight="1">
      <c r="A17" s="1405"/>
      <c r="B17" s="855">
        <f>INDEX('Aides traitements'!$E$4:$E$5,'Page de garde'!$G$4,1)</f>
        <v>2009</v>
      </c>
      <c r="C17" s="855">
        <f>'Aides traitements'!$I$11</f>
        <v>2020</v>
      </c>
      <c r="D17" s="1411"/>
      <c r="E17" s="856">
        <f>INDEX('Aides traitements'!$E$4:$E$5,'Page de garde'!$G$4,1)</f>
        <v>2009</v>
      </c>
      <c r="F17" s="856">
        <f>'Aides traitements'!$I$11</f>
        <v>2020</v>
      </c>
      <c r="G17" s="66"/>
      <c r="H17" s="1405"/>
      <c r="I17" s="855">
        <f>INDEX('Aides traitements'!$E$4:$E$5,'Page de garde'!$G$4,1)</f>
        <v>2009</v>
      </c>
      <c r="J17" s="855">
        <f>'Aides traitements'!$I$11</f>
        <v>2020</v>
      </c>
      <c r="K17" s="1411"/>
      <c r="L17" s="856">
        <f>INDEX('Aides traitements'!$E$4:$E$5,'Page de garde'!$G$4,1)</f>
        <v>2009</v>
      </c>
      <c r="M17" s="856">
        <f>'Aides traitements'!$I$11</f>
        <v>2020</v>
      </c>
    </row>
    <row r="18" spans="1:18" ht="13.8">
      <c r="A18" s="189" t="str">
        <f>INDEX('Aides traitements'!$A$5:$A$26,'Page de garde'!$C$4,1)</f>
        <v>Paul Bert</v>
      </c>
      <c r="B18" s="212">
        <f>IF($B$6='Aides traitements'!$E$4,VLOOKUP($A18,'Base de données'!$BN$9:$CF$91,4,FALSE),VLOOKUP($A18,'Base de données'!$BN$9:$CF$91,10,FALSE))</f>
        <v>517.55720899999994</v>
      </c>
      <c r="C18" s="213">
        <f>VLOOKUP($A18,'Base de données'!$BN$9:$CF$91,16,FALSE)</f>
        <v>556.07253965574296</v>
      </c>
      <c r="D18" s="214">
        <f>((C18/B18)^(1/(C$6-B$6)))-1</f>
        <v>6.5466713753814521E-3</v>
      </c>
      <c r="E18" s="215">
        <f>IF($B$6='Aides traitements'!$E$4,B18/VLOOKUP($A18,'Base de données'!$B$9:$E$91,2,FALSE),B18/VLOOKUP($A18,'Base de données'!$B$9:$E$91,3,FALSE))</f>
        <v>0.17689776787096931</v>
      </c>
      <c r="F18" s="215">
        <f>C18/VLOOKUP($A18,'Base de données'!$B$9:$E$91,4,FALSE)</f>
        <v>0.16361211846914528</v>
      </c>
      <c r="G18" s="543"/>
      <c r="H18" s="189" t="str">
        <f>INDEX('Aides traitements'!$A$5:$A$26,'Page de garde'!$C$4,1)</f>
        <v>Paul Bert</v>
      </c>
      <c r="I18" s="212">
        <f>IF($B$6='Aides traitements'!$E$4,VLOOKUP($A18,'Base de données'!$BN$9:$CF$91,5,FALSE),VLOOKUP($A18,'Base de données'!$BN$9:$CF$91,11,FALSE))</f>
        <v>348.37538799999999</v>
      </c>
      <c r="J18" s="213">
        <f>VLOOKUP($A18,'Base de données'!$BN$9:$CF$91,17,FALSE)</f>
        <v>408.73972265957502</v>
      </c>
      <c r="K18" s="214">
        <f>((J18/I18)^(1/(J$6-I$6)))-1</f>
        <v>1.4633119976728448E-2</v>
      </c>
      <c r="L18" s="215">
        <f>IF($B$6='Aides traitements'!$E$4,I18/VLOOKUP($A18,'Base de données'!$B$9:$E$91,2,FALSE),I18/VLOOKUP($A18,'Base de données'!$B$9:$E$91,3,FALSE))</f>
        <v>0.11907249565213356</v>
      </c>
      <c r="M18" s="215">
        <f>J18/VLOOKUP($A18,'Base de données'!$B$9:$E$91,4,FALSE)</f>
        <v>0.1202626764634435</v>
      </c>
      <c r="N18" s="66"/>
    </row>
    <row r="19" spans="1:18" ht="13.8">
      <c r="A19" s="190" t="str">
        <f>VLOOKUP(A18,'Aides traitements'!$A$5:$B$26,2,FALSE)</f>
        <v>Tours nord</v>
      </c>
      <c r="B19" s="216">
        <f>IF($B$6='Aides traitements'!$E$4,VLOOKUP($A19,'Base de données'!$BN$9:$CF$91,4,FALSE),VLOOKUP($A19,'Base de données'!$BN$9:$CF$91,10,FALSE))</f>
        <v>7010.1736100000007</v>
      </c>
      <c r="C19" s="217">
        <f>VLOOKUP($A19,'Base de données'!$BN$9:$CF$91,16,FALSE)</f>
        <v>7766.9778899444027</v>
      </c>
      <c r="D19" s="218">
        <f t="shared" ref="D19:D20" si="2">((C19/B19)^(1/(C$6-B$6)))-1</f>
        <v>9.363444948640387E-3</v>
      </c>
      <c r="E19" s="215">
        <f>IF($B$6='Aides traitements'!$E$4,B19/VLOOKUP($A19,'Base de données'!$B$9:$E$91,2,FALSE),B19/VLOOKUP($A19,'Base de données'!$B$9:$E$91,3,FALSE))</f>
        <v>0.19260258680235212</v>
      </c>
      <c r="F19" s="215">
        <f>C19/VLOOKUP($A19,'Base de données'!$B$9:$E$91,4,FALSE)</f>
        <v>0.18521218945103057</v>
      </c>
      <c r="G19" s="66"/>
      <c r="H19" s="190" t="str">
        <f>VLOOKUP(H18,'Aides traitements'!$A$5:$B$26,2,FALSE)</f>
        <v>Tours nord</v>
      </c>
      <c r="I19" s="216">
        <f>IF($B$6='Aides traitements'!$E$4,VLOOKUP($A19,'Base de données'!$BN$9:$CF$91,5,FALSE),VLOOKUP($A19,'Base de données'!$BN$9:$CF$91,11,FALSE))</f>
        <v>6431.1211360000007</v>
      </c>
      <c r="J19" s="217">
        <f>VLOOKUP($A19,'Base de données'!$BN$9:$CF$91,17,FALSE)</f>
        <v>7060.7760107231525</v>
      </c>
      <c r="K19" s="218">
        <f t="shared" ref="K19:K20" si="3">((J19/I19)^(1/(J$6-I$6)))-1</f>
        <v>8.5276164294871837E-3</v>
      </c>
      <c r="L19" s="215">
        <f>IF($B$6='Aides traitements'!$E$4,I19/VLOOKUP($A19,'Base de données'!$B$9:$E$91,2,FALSE),I19/VLOOKUP($A19,'Base de données'!$B$9:$E$91,3,FALSE))</f>
        <v>0.17669327975928423</v>
      </c>
      <c r="M19" s="215">
        <f>J19/VLOOKUP($A19,'Base de données'!$B$9:$E$91,4,FALSE)</f>
        <v>0.1683720235463049</v>
      </c>
      <c r="N19" s="66"/>
    </row>
    <row r="20" spans="1:18" ht="13.8">
      <c r="A20" s="190" t="s">
        <v>0</v>
      </c>
      <c r="B20" s="216">
        <f>IF($B$6='Aides traitements'!$E$4,VLOOKUP($A20,'Base de données'!$BN$9:$CF$91,4,FALSE),VLOOKUP($A20,'Base de données'!$BN$9:$CF$91,10,FALSE))</f>
        <v>24298.557165000002</v>
      </c>
      <c r="C20" s="217">
        <f>VLOOKUP($A20,'Base de données'!$BN$9:$CF$91,16,FALSE)</f>
        <v>24625.658672825637</v>
      </c>
      <c r="D20" s="218">
        <f t="shared" si="2"/>
        <v>1.2163721064459843E-3</v>
      </c>
      <c r="E20" s="215">
        <f>IF($B$6='Aides traitements'!$E$4,B20/VLOOKUP($A20,'Base de données'!$B$9:$E$91,2,FALSE),B20/VLOOKUP($A20,'Base de données'!$B$9:$E$91,3,FALSE))</f>
        <v>0.17969913151621383</v>
      </c>
      <c r="F20" s="215">
        <f>C20/VLOOKUP($A20,'Base de données'!$B$9:$E$91,4,FALSE)</f>
        <v>0.17864097695194517</v>
      </c>
      <c r="G20" s="66"/>
      <c r="H20" s="190" t="s">
        <v>0</v>
      </c>
      <c r="I20" s="216">
        <f>IF($B$6='Aides traitements'!$E$4,VLOOKUP($A20,'Base de données'!$BN$9:$CF$91,5,FALSE),VLOOKUP($A20,'Base de données'!$BN$9:$CF$91,11,FALSE))</f>
        <v>21994.451350000003</v>
      </c>
      <c r="J20" s="217">
        <f>VLOOKUP($A20,'Base de données'!$BN$9:$CF$91,17,FALSE)</f>
        <v>21336.246538142495</v>
      </c>
      <c r="K20" s="218">
        <f t="shared" si="3"/>
        <v>-2.7582679095646823E-3</v>
      </c>
      <c r="L20" s="215">
        <f>IF($B$6='Aides traitements'!$E$4,I20/VLOOKUP($A20,'Base de données'!$B$9:$E$91,2,FALSE),I20/VLOOKUP($A20,'Base de données'!$B$9:$E$91,3,FALSE))</f>
        <v>0.16265919737257853</v>
      </c>
      <c r="M20" s="215">
        <f>J20/VLOOKUP($A20,'Base de données'!$B$9:$E$91,4,FALSE)</f>
        <v>0.15477871989947406</v>
      </c>
      <c r="N20" s="66"/>
    </row>
    <row r="21" spans="1:18" ht="13.8">
      <c r="A21" s="836" t="s">
        <v>304</v>
      </c>
      <c r="B21" s="837"/>
      <c r="C21" s="857"/>
      <c r="D21" s="858"/>
      <c r="E21" s="859"/>
      <c r="F21" s="859"/>
      <c r="G21" s="68"/>
      <c r="H21" s="836" t="s">
        <v>304</v>
      </c>
      <c r="I21" s="837"/>
      <c r="J21" s="857"/>
      <c r="K21" s="858"/>
      <c r="L21" s="859"/>
      <c r="M21" s="859"/>
      <c r="N21" s="66"/>
    </row>
    <row r="22" spans="1:18" ht="11.25" customHeight="1">
      <c r="A22" s="224" t="str">
        <f>CONCATENATE("Sources : Insee, RP",INDEX('Aides traitements'!$E$4:$E$5,'Page de garde'!$G$4,1)," et RP",'Aides traitements'!$I$11," exploitations principales et complémentaires")</f>
        <v>Sources : Insee, RP2009 et RP2020 exploitations principales et complémentaires</v>
      </c>
      <c r="B22" s="15"/>
      <c r="C22" s="15"/>
      <c r="D22" s="14"/>
      <c r="E22" s="15"/>
      <c r="F22" s="14"/>
      <c r="G22" s="14"/>
      <c r="H22" s="15"/>
      <c r="I22" s="15"/>
      <c r="J22" s="15"/>
      <c r="K22" s="14"/>
      <c r="L22" s="15"/>
      <c r="M22" s="14"/>
    </row>
    <row r="23" spans="1:18" ht="14.25" customHeight="1">
      <c r="A23" s="14"/>
      <c r="B23" s="14"/>
      <c r="C23" s="14"/>
      <c r="D23" s="14"/>
      <c r="E23" s="14"/>
      <c r="F23" s="14"/>
      <c r="G23" s="14"/>
      <c r="H23" s="14"/>
      <c r="I23" s="14"/>
      <c r="J23" s="14"/>
      <c r="K23" s="14"/>
      <c r="L23" s="14"/>
      <c r="M23" s="14"/>
    </row>
    <row r="24" spans="1:18" ht="14.25" customHeight="1">
      <c r="A24" s="14"/>
      <c r="B24" s="14"/>
      <c r="C24" s="14"/>
      <c r="D24" s="14"/>
      <c r="E24" s="14"/>
      <c r="G24" s="17"/>
      <c r="H24" s="18"/>
      <c r="I24" s="14"/>
      <c r="J24" s="14"/>
      <c r="L24" s="14"/>
      <c r="M24" s="14"/>
    </row>
    <row r="25" spans="1:18" ht="15" customHeight="1">
      <c r="A25" s="396" t="s">
        <v>244</v>
      </c>
      <c r="B25" s="385"/>
      <c r="C25" s="385"/>
      <c r="D25" s="385"/>
      <c r="E25" s="385"/>
      <c r="F25" s="385"/>
      <c r="G25" s="385"/>
      <c r="H25" s="385"/>
      <c r="I25" s="386"/>
      <c r="J25" s="386"/>
      <c r="K25" s="386"/>
      <c r="L25" s="386"/>
      <c r="M25" s="386"/>
    </row>
    <row r="26" spans="1:18" ht="14.25" customHeight="1">
      <c r="A26" s="14"/>
      <c r="B26" s="14"/>
      <c r="C26" s="14"/>
      <c r="D26" s="14"/>
      <c r="E26" s="14"/>
      <c r="F26" s="14"/>
      <c r="G26" s="14"/>
      <c r="H26" s="14"/>
      <c r="I26" s="14"/>
      <c r="J26" s="14"/>
      <c r="K26" s="14"/>
      <c r="L26" s="14"/>
      <c r="M26" s="14"/>
    </row>
    <row r="27" spans="1:18" ht="18.75" customHeight="1">
      <c r="A27" s="1405" t="s">
        <v>200</v>
      </c>
      <c r="B27" s="1411" t="s">
        <v>86</v>
      </c>
      <c r="C27" s="1411"/>
      <c r="D27" s="1411" t="s">
        <v>256</v>
      </c>
      <c r="E27" s="1410" t="s">
        <v>236</v>
      </c>
      <c r="F27" s="1410"/>
      <c r="G27" s="68"/>
      <c r="H27" s="1405" t="s">
        <v>201</v>
      </c>
      <c r="I27" s="1411" t="s">
        <v>86</v>
      </c>
      <c r="J27" s="1411"/>
      <c r="K27" s="1411" t="s">
        <v>256</v>
      </c>
      <c r="L27" s="1410" t="s">
        <v>236</v>
      </c>
      <c r="M27" s="1410"/>
    </row>
    <row r="28" spans="1:18" ht="21" customHeight="1">
      <c r="A28" s="1405"/>
      <c r="B28" s="855">
        <f>INDEX('Aides traitements'!$E$4:$E$5,'Page de garde'!$G$4,1)</f>
        <v>2009</v>
      </c>
      <c r="C28" s="855">
        <f>'Aides traitements'!$I$11</f>
        <v>2020</v>
      </c>
      <c r="D28" s="1411"/>
      <c r="E28" s="856">
        <f>INDEX('Aides traitements'!$E$4:$E$5,'Page de garde'!$G$4,1)</f>
        <v>2009</v>
      </c>
      <c r="F28" s="856">
        <f>'Aides traitements'!$I$11</f>
        <v>2020</v>
      </c>
      <c r="G28" s="66"/>
      <c r="H28" s="1405"/>
      <c r="I28" s="855">
        <f>INDEX('Aides traitements'!$E$4:$E$5,'Page de garde'!$G$4,1)</f>
        <v>2009</v>
      </c>
      <c r="J28" s="855">
        <f>'Aides traitements'!$I$11</f>
        <v>2020</v>
      </c>
      <c r="K28" s="1411"/>
      <c r="L28" s="856">
        <f>INDEX('Aides traitements'!$E$4:$E$5,'Page de garde'!$G$4,1)</f>
        <v>2009</v>
      </c>
      <c r="M28" s="856">
        <f>'Aides traitements'!$I$11</f>
        <v>2020</v>
      </c>
      <c r="N28" s="66"/>
    </row>
    <row r="29" spans="1:18" ht="13.5" customHeight="1">
      <c r="A29" s="189" t="str">
        <f>INDEX('Aides traitements'!$A$5:$A$26,'Page de garde'!$C$4,1)</f>
        <v>Paul Bert</v>
      </c>
      <c r="B29" s="212">
        <f>IF($B$6='Aides traitements'!$E$4,VLOOKUP($A29,'Base de données'!$BN$9:$CF$91,6,FALSE),VLOOKUP($A29,'Base de données'!$BN$9:$CF$91,12,FALSE))</f>
        <v>268.179956</v>
      </c>
      <c r="C29" s="213">
        <f>VLOOKUP($A29,'Base de données'!$BN$9:$CF$91,18,FALSE)</f>
        <v>431.49227050097198</v>
      </c>
      <c r="D29" s="214">
        <f>((C29/B29)^(1/(C$6-B$6)))-1</f>
        <v>4.41838532379486E-2</v>
      </c>
      <c r="E29" s="215">
        <f>IF($B$6='Aides traitements'!$E$4,B29/VLOOKUP($A29,'Base de données'!$B$9:$E$91,2,FALSE),B29/VLOOKUP($A29,'Base de données'!$B$9:$E$91,3,FALSE))</f>
        <v>9.1662206185470732E-2</v>
      </c>
      <c r="F29" s="215">
        <f>C29/VLOOKUP($A29,'Base de données'!$B$9:$E$91,4,FALSE)</f>
        <v>0.12695711340723889</v>
      </c>
      <c r="G29" s="543"/>
      <c r="H29" s="189" t="str">
        <f>INDEX('Aides traitements'!$A$5:$A$26,'Page de garde'!$C$4,1)</f>
        <v>Paul Bert</v>
      </c>
      <c r="I29" s="212">
        <f>IF($B$6='Aides traitements'!$E$4,VLOOKUP($A29,'Base de données'!$BN$9:$CF$91,7,FALSE),VLOOKUP($A29,'Base de données'!$BN$9:$CF$91,13,FALSE))</f>
        <v>459.92332599999997</v>
      </c>
      <c r="J29" s="213">
        <f>VLOOKUP($A29,'Base de données'!$BN$9:$CF$91,19,FALSE)</f>
        <v>485.5499571062</v>
      </c>
      <c r="K29" s="214">
        <f>((J29/I29)^(1/(J$6-I$6)))-1</f>
        <v>4.9414769996911634E-3</v>
      </c>
      <c r="L29" s="215">
        <f>IF($B$6='Aides traitements'!$E$4,I29/VLOOKUP($A29,'Base de données'!$B$9:$E$91,2,FALSE),I29/VLOOKUP($A29,'Base de données'!$B$9:$E$91,3,FALSE))</f>
        <v>0.15719887260075271</v>
      </c>
      <c r="M29" s="215">
        <f>J29/VLOOKUP($A29,'Base de données'!$B$9:$E$91,4,FALSE)</f>
        <v>0.142862399128591</v>
      </c>
      <c r="N29" s="66"/>
      <c r="O29" s="117"/>
      <c r="P29" s="117"/>
    </row>
    <row r="30" spans="1:18" ht="13.8">
      <c r="A30" s="190" t="str">
        <f>VLOOKUP(A29,'Aides traitements'!$A$5:$B$26,2,FALSE)</f>
        <v>Tours nord</v>
      </c>
      <c r="B30" s="216">
        <f>IF($B$6='Aides traitements'!$E$4,VLOOKUP($A30,'Base de données'!$BN$9:$CF$91,6,FALSE),VLOOKUP($A30,'Base de données'!$BN$9:$CF$91,12,FALSE))</f>
        <v>5140.4687020000001</v>
      </c>
      <c r="C30" s="217">
        <f>VLOOKUP($A30,'Base de données'!$BN$9:$CF$91,18,FALSE)</f>
        <v>5873.3783932934894</v>
      </c>
      <c r="D30" s="218">
        <f t="shared" ref="D30:D31" si="4">((C30/B30)^(1/(C$6-B$6)))-1</f>
        <v>1.219059242888143E-2</v>
      </c>
      <c r="E30" s="215">
        <f>IF($B$6='Aides traitements'!$E$4,B30/VLOOKUP($A30,'Base de données'!$B$9:$E$91,2,FALSE),B30/VLOOKUP($A30,'Base de données'!$B$9:$E$91,3,FALSE))</f>
        <v>0.14123296004672403</v>
      </c>
      <c r="F30" s="215">
        <f>C30/VLOOKUP($A30,'Base de données'!$B$9:$E$91,4,FALSE)</f>
        <v>0.14005721235599528</v>
      </c>
      <c r="G30" s="66"/>
      <c r="H30" s="190" t="str">
        <f>VLOOKUP(H29,'Aides traitements'!$A$5:$B$26,2,FALSE)</f>
        <v>Tours nord</v>
      </c>
      <c r="I30" s="216">
        <f>IF($B$6='Aides traitements'!$E$4,VLOOKUP($A30,'Base de données'!$BN$9:$CF$91,7,FALSE),VLOOKUP($A30,'Base de données'!$BN$9:$CF$91,13,FALSE))</f>
        <v>3931.322193</v>
      </c>
      <c r="J30" s="217">
        <f>VLOOKUP($A30,'Base de données'!$BN$9:$CF$91,19,FALSE)</f>
        <v>5126.6874369797706</v>
      </c>
      <c r="K30" s="218">
        <f t="shared" ref="K30:K31" si="5">((J30/I30)^(1/(J$6-I$6)))-1</f>
        <v>2.4428505991254124E-2</v>
      </c>
      <c r="L30" s="215">
        <f>IF($B$6='Aides traitements'!$E$4,I30/VLOOKUP($A30,'Base de données'!$B$9:$E$91,2,FALSE),I30/VLOOKUP($A30,'Base de données'!$B$9:$E$91,3,FALSE))</f>
        <v>0.10801199314738451</v>
      </c>
      <c r="M30" s="215">
        <f>J30/VLOOKUP($A30,'Base de données'!$B$9:$E$91,4,FALSE)</f>
        <v>0.12225153956771628</v>
      </c>
      <c r="N30" s="66"/>
    </row>
    <row r="31" spans="1:18" ht="13.8">
      <c r="A31" s="190" t="s">
        <v>0</v>
      </c>
      <c r="B31" s="216">
        <f>IF($B$6='Aides traitements'!$E$4,VLOOKUP($A31,'Base de données'!$BN$9:$CF$91,6,FALSE),VLOOKUP($A31,'Base de données'!$BN$9:$CF$91,12,FALSE))</f>
        <v>15661.081103999999</v>
      </c>
      <c r="C31" s="217">
        <f>VLOOKUP($A31,'Base de données'!$BN$9:$CF$91,18,FALSE)</f>
        <v>18272.590233931689</v>
      </c>
      <c r="D31" s="218">
        <f t="shared" si="4"/>
        <v>1.4119055616595322E-2</v>
      </c>
      <c r="E31" s="215">
        <f>IF($B$6='Aides traitements'!$E$4,B31/VLOOKUP($A31,'Base de données'!$B$9:$E$91,2,FALSE),B31/VLOOKUP($A31,'Base de données'!$B$9:$E$91,3,FALSE))</f>
        <v>0.11582097874714641</v>
      </c>
      <c r="F31" s="215">
        <f>C31/VLOOKUP($A31,'Base de données'!$B$9:$E$91,4,FALSE)</f>
        <v>0.13255415476192742</v>
      </c>
      <c r="G31" s="66"/>
      <c r="H31" s="190" t="s">
        <v>0</v>
      </c>
      <c r="I31" s="216">
        <f>IF($B$6='Aides traitements'!$E$4,VLOOKUP($A31,'Base de données'!$BN$9:$CF$91,7,FALSE),VLOOKUP($A31,'Base de données'!$BN$9:$CF$91,13,FALSE))</f>
        <v>13271.937052000001</v>
      </c>
      <c r="J31" s="217">
        <f>VLOOKUP($A31,'Base de données'!$BN$9:$CF$91,19,FALSE)</f>
        <v>13806.161125440356</v>
      </c>
      <c r="K31" s="218">
        <f t="shared" si="5"/>
        <v>3.5940012566353374E-3</v>
      </c>
      <c r="L31" s="215">
        <f>IF($B$6='Aides traitements'!$E$4,I31/VLOOKUP($A31,'Base de données'!$B$9:$E$91,2,FALSE),I31/VLOOKUP($A31,'Base de données'!$B$9:$E$91,3,FALSE))</f>
        <v>9.8152147289534725E-2</v>
      </c>
      <c r="M31" s="215">
        <f>J31/VLOOKUP($A31,'Base de données'!$B$9:$E$91,4,FALSE)</f>
        <v>0.10015350834559564</v>
      </c>
      <c r="N31" s="66"/>
      <c r="R31" s="9"/>
    </row>
    <row r="32" spans="1:18" ht="13.8">
      <c r="A32" s="836" t="s">
        <v>304</v>
      </c>
      <c r="B32" s="837"/>
      <c r="C32" s="857"/>
      <c r="D32" s="858"/>
      <c r="E32" s="859"/>
      <c r="F32" s="859"/>
      <c r="G32" s="68"/>
      <c r="H32" s="836" t="s">
        <v>304</v>
      </c>
      <c r="I32" s="837"/>
      <c r="J32" s="857"/>
      <c r="K32" s="858"/>
      <c r="L32" s="859"/>
      <c r="M32" s="859"/>
    </row>
    <row r="33" spans="1:14" ht="11.25" customHeight="1">
      <c r="A33" s="224" t="str">
        <f>CONCATENATE("Sources : Insee, RP",INDEX('Aides traitements'!$E$4:$E$5,'Page de garde'!$G$4,1)," et RP",'Aides traitements'!$I$11," exploitations principales et complémentaires")</f>
        <v>Sources : Insee, RP2009 et RP2020 exploitations principales et complémentaires</v>
      </c>
      <c r="B33" s="15"/>
      <c r="C33" s="15"/>
      <c r="D33" s="14"/>
      <c r="E33" s="14"/>
      <c r="F33" s="14"/>
      <c r="G33" s="14"/>
      <c r="H33" s="15"/>
      <c r="I33" s="15"/>
      <c r="J33" s="15"/>
      <c r="K33" s="15"/>
      <c r="L33" s="14"/>
      <c r="M33" s="15"/>
    </row>
    <row r="34" spans="1:14" ht="14.25" customHeight="1">
      <c r="A34" s="14"/>
      <c r="B34" s="14"/>
      <c r="C34" s="14"/>
      <c r="D34" s="14"/>
      <c r="E34" s="14"/>
      <c r="F34" s="14"/>
      <c r="G34" s="14"/>
      <c r="H34" s="14"/>
      <c r="I34" s="14"/>
      <c r="J34" s="14"/>
      <c r="K34" s="14"/>
      <c r="L34" s="14"/>
      <c r="M34" s="14"/>
    </row>
    <row r="35" spans="1:14" ht="14.25" customHeight="1">
      <c r="A35" s="14"/>
      <c r="B35" s="14"/>
      <c r="C35" s="14"/>
      <c r="D35" s="14"/>
      <c r="E35" s="14"/>
      <c r="F35" s="14"/>
      <c r="G35" s="14"/>
      <c r="H35" s="14"/>
      <c r="I35" s="14"/>
      <c r="J35" s="14"/>
      <c r="K35" s="14"/>
      <c r="L35" s="14"/>
      <c r="M35" s="14"/>
    </row>
    <row r="36" spans="1:14" ht="14.25" customHeight="1">
      <c r="A36" s="14"/>
      <c r="B36" s="14"/>
      <c r="C36" s="14"/>
      <c r="D36" s="14"/>
      <c r="E36" s="14"/>
      <c r="F36" s="14"/>
      <c r="G36" s="14"/>
      <c r="H36" s="14"/>
      <c r="I36" s="14"/>
      <c r="J36" s="14"/>
      <c r="K36" s="14"/>
      <c r="L36" s="14"/>
      <c r="M36" s="14"/>
    </row>
    <row r="37" spans="1:14" ht="15" customHeight="1">
      <c r="A37" s="396" t="s">
        <v>457</v>
      </c>
      <c r="B37" s="385"/>
      <c r="C37" s="385"/>
      <c r="D37" s="385"/>
      <c r="E37" s="385"/>
      <c r="F37" s="385"/>
      <c r="G37" s="385"/>
      <c r="H37" s="385"/>
      <c r="I37" s="386"/>
      <c r="J37" s="386"/>
      <c r="K37" s="386"/>
      <c r="L37" s="386"/>
      <c r="M37" s="386"/>
    </row>
    <row r="38" spans="1:14" ht="14.25" customHeight="1">
      <c r="A38" s="14"/>
      <c r="B38" s="14"/>
      <c r="C38" s="14"/>
      <c r="D38" s="14"/>
      <c r="E38" s="14"/>
      <c r="F38" s="14"/>
      <c r="G38" s="14"/>
      <c r="H38" s="14"/>
      <c r="I38" s="110"/>
      <c r="J38" s="110"/>
      <c r="K38" s="110"/>
      <c r="L38" s="110"/>
      <c r="M38" s="110"/>
    </row>
    <row r="39" spans="1:14" ht="61.8">
      <c r="A39" s="1406" t="str">
        <f>CONCATENATE("Répartition de la population 
par tranches d'âges en ",'Aides traitements'!$I$11)</f>
        <v>Répartition de la population 
par tranches d'âges en 2020</v>
      </c>
      <c r="B39" s="1407" t="s">
        <v>86</v>
      </c>
      <c r="C39" s="1407"/>
      <c r="D39" s="1407"/>
      <c r="E39" s="1412" t="s">
        <v>189</v>
      </c>
      <c r="F39" s="1412"/>
      <c r="G39" s="1412"/>
      <c r="H39" s="7"/>
      <c r="I39" s="1007" t="str">
        <f>CONCATENATE("Age de la population "," par tranches d'âges 
entre ",INDEX('Aides traitements'!$E$4:$E$5,'Page de garde'!$G$4,1)," et ",$C$48," ",A41)</f>
        <v>Age de la population  par tranches d'âges 
entre 2009 et 2020 Paul Bert</v>
      </c>
      <c r="J39" s="110"/>
      <c r="K39" s="110"/>
      <c r="L39" s="110"/>
      <c r="M39" s="110"/>
    </row>
    <row r="40" spans="1:14" ht="25.5" customHeight="1">
      <c r="A40" s="1405"/>
      <c r="B40" s="864" t="s">
        <v>193</v>
      </c>
      <c r="C40" s="864" t="s">
        <v>219</v>
      </c>
      <c r="D40" s="864" t="s">
        <v>218</v>
      </c>
      <c r="E40" s="863" t="s">
        <v>193</v>
      </c>
      <c r="F40" s="863" t="s">
        <v>219</v>
      </c>
      <c r="G40" s="863" t="s">
        <v>218</v>
      </c>
      <c r="H40" s="66"/>
      <c r="I40" s="110"/>
      <c r="J40" s="110"/>
      <c r="K40" s="110"/>
      <c r="L40" s="110"/>
      <c r="M40" s="110"/>
    </row>
    <row r="41" spans="1:14" ht="12.75" customHeight="1">
      <c r="A41" s="189" t="str">
        <f>INDEX('Aides traitements'!$A$5:$A$26,'Page de garde'!$C$4,1)</f>
        <v>Paul Bert</v>
      </c>
      <c r="B41" s="187">
        <f>VLOOKUP($A41,'Base de données'!$CH$9:$CQ$91,8,FALSE)</f>
        <v>741.78835862231404</v>
      </c>
      <c r="C41" s="187">
        <f>VLOOKUP($A41,'Base de données'!$CH$9:$CQ$91,9,FALSE)</f>
        <v>1902.2392329280999</v>
      </c>
      <c r="D41" s="187">
        <f>VLOOKUP($A41,'Base de données'!$CH$9:$CQ$91,10,FALSE)</f>
        <v>754.69705585771305</v>
      </c>
      <c r="E41" s="304">
        <f>B41/SUM($B41:$D41)</f>
        <v>0.21825491488049878</v>
      </c>
      <c r="F41" s="304">
        <f t="shared" ref="E41:G43" si="6">C41/SUM($B41:$D41)</f>
        <v>0.55969206990002873</v>
      </c>
      <c r="G41" s="304">
        <f t="shared" si="6"/>
        <v>0.22205301521947246</v>
      </c>
      <c r="I41" s="110"/>
      <c r="J41" s="110"/>
      <c r="K41" s="110"/>
      <c r="L41" s="110"/>
      <c r="M41" s="110"/>
    </row>
    <row r="42" spans="1:14">
      <c r="A42" s="190" t="str">
        <f>VLOOKUP(A41,'Aides traitements'!$A$5:$B$26,2,FALSE)</f>
        <v>Tours nord</v>
      </c>
      <c r="B42" s="84">
        <f>VLOOKUP($A42,'Base de données'!$CH$9:$CQ$91,8,FALSE)</f>
        <v>9028.3437783590689</v>
      </c>
      <c r="C42" s="84">
        <f>VLOOKUP($A42,'Base de données'!$CH$9:$CQ$91,9,FALSE)</f>
        <v>23972.241846134053</v>
      </c>
      <c r="D42" s="84">
        <f>VLOOKUP($A42,'Base de données'!$CH$9:$CQ$91,10,FALSE)</f>
        <v>8934.9798097568673</v>
      </c>
      <c r="E42" s="123">
        <f t="shared" si="6"/>
        <v>0.21529085598033595</v>
      </c>
      <c r="F42" s="123">
        <f t="shared" si="6"/>
        <v>0.57164465526808494</v>
      </c>
      <c r="G42" s="123">
        <f t="shared" si="6"/>
        <v>0.21306448875157913</v>
      </c>
      <c r="I42" s="110"/>
      <c r="J42" s="110"/>
      <c r="K42" s="110"/>
      <c r="L42" s="110"/>
      <c r="M42" s="110"/>
    </row>
    <row r="43" spans="1:14">
      <c r="A43" s="190" t="s">
        <v>0</v>
      </c>
      <c r="B43" s="84">
        <f>VLOOKUP($A43,'Base de données'!$CH$9:$CQ$91,8,FALSE)</f>
        <v>31918.150031006255</v>
      </c>
      <c r="C43" s="84">
        <f>VLOOKUP($A43,'Base de données'!$CH$9:$CQ$91,9,FALSE)</f>
        <v>80224.622662890542</v>
      </c>
      <c r="D43" s="84">
        <f>VLOOKUP($A43,'Base de données'!$CH$9:$CQ$91,10,FALSE)</f>
        <v>25707.227306103196</v>
      </c>
      <c r="E43" s="123">
        <f t="shared" si="6"/>
        <v>0.23154261901346576</v>
      </c>
      <c r="F43" s="123">
        <f t="shared" si="6"/>
        <v>0.58197042192883963</v>
      </c>
      <c r="G43" s="123">
        <f t="shared" si="6"/>
        <v>0.18648695905769455</v>
      </c>
      <c r="I43" s="110"/>
      <c r="J43" s="110"/>
      <c r="K43" s="110"/>
      <c r="L43" s="110"/>
      <c r="M43" s="110"/>
    </row>
    <row r="44" spans="1:14">
      <c r="A44" s="836" t="s">
        <v>304</v>
      </c>
      <c r="B44" s="837"/>
      <c r="C44" s="837"/>
      <c r="D44" s="837"/>
      <c r="E44" s="849"/>
      <c r="F44" s="849"/>
      <c r="G44" s="849"/>
      <c r="I44" s="110"/>
      <c r="J44" s="110"/>
      <c r="K44" s="110"/>
      <c r="L44" s="110"/>
      <c r="M44" s="110"/>
    </row>
    <row r="45" spans="1:14" ht="11.25" customHeight="1">
      <c r="A45" s="224" t="str">
        <f>CONCATENATE("Source : Insee, RP",'Aides traitements'!$I$11," exploitation principale et complémentaire")</f>
        <v>Source : Insee, RP2020 exploitation principale et complémentaire</v>
      </c>
      <c r="B45" s="547"/>
      <c r="C45" s="554"/>
      <c r="D45" s="547"/>
      <c r="E45" s="406"/>
      <c r="F45" s="406"/>
      <c r="G45" s="406"/>
      <c r="H45" s="7"/>
      <c r="I45" s="110"/>
      <c r="J45" s="110"/>
      <c r="K45" s="110"/>
      <c r="L45" s="110"/>
      <c r="M45" s="110"/>
    </row>
    <row r="46" spans="1:14" ht="14.25" customHeight="1">
      <c r="A46" s="21"/>
      <c r="B46" s="14"/>
      <c r="C46" s="14"/>
      <c r="D46" s="14"/>
      <c r="E46" s="14"/>
      <c r="F46" s="14"/>
      <c r="G46" s="14"/>
      <c r="H46" s="7"/>
      <c r="I46" s="110"/>
      <c r="J46" s="110"/>
      <c r="K46" s="110"/>
      <c r="L46" s="110"/>
      <c r="M46" s="392"/>
      <c r="N46" s="2"/>
    </row>
    <row r="47" spans="1:14" ht="14.1" customHeight="1">
      <c r="A47" s="1398" t="s">
        <v>467</v>
      </c>
      <c r="B47" s="1408" t="s">
        <v>468</v>
      </c>
      <c r="C47" s="1409"/>
      <c r="D47" s="14"/>
      <c r="E47" s="14"/>
      <c r="F47" s="1408" t="s">
        <v>469</v>
      </c>
      <c r="G47" s="1409"/>
      <c r="H47" s="7"/>
      <c r="I47" s="110"/>
      <c r="J47" s="110"/>
      <c r="K47" s="110"/>
      <c r="L47" s="110"/>
      <c r="M47" s="392"/>
      <c r="N47" s="2"/>
    </row>
    <row r="48" spans="1:14" ht="12.75" customHeight="1">
      <c r="A48" s="1399"/>
      <c r="B48" s="855">
        <f>INDEX('Aides traitements'!$E$4:$E$5,'Page de garde'!$G$4,1)</f>
        <v>2009</v>
      </c>
      <c r="C48" s="855">
        <f>'Aides traitements'!$I$11</f>
        <v>2020</v>
      </c>
      <c r="E48" s="552"/>
      <c r="F48" s="855">
        <f>INDEX('Aides traitements'!$E$4:$E$5,'Page de garde'!$G$4,1)</f>
        <v>2009</v>
      </c>
      <c r="G48" s="855">
        <f>'Aides traitements'!$I$11</f>
        <v>2020</v>
      </c>
      <c r="H48" s="7"/>
      <c r="I48" s="1401"/>
      <c r="J48" s="1401"/>
      <c r="K48" s="1401"/>
      <c r="L48" s="393"/>
      <c r="M48" s="110"/>
    </row>
    <row r="49" spans="1:13" ht="12.75" customHeight="1">
      <c r="A49" s="189" t="str">
        <f>INDEX('Aides traitements'!$A$5:$A$26,'Page de garde'!$C$4,1)</f>
        <v>Paul Bert</v>
      </c>
      <c r="B49" s="222">
        <f>IF($B$48='Aides traitements'!$E$4,VLOOKUP(A49,'Base de données'!$CH$9:$CQ$91,4,FALSE)*100/VLOOKUP(A49,'Base de données'!$CH$9:$CQ$91,2,FALSE),VLOOKUP(A49,'Base de données'!$CH$9:$CQ$91,7,FALSE)*100/VLOOKUP(A49,'Base de données'!$CH$9:$CQ$91,5,FALSE))</f>
        <v>106.44460640145046</v>
      </c>
      <c r="C49" s="222">
        <f>(VLOOKUP(A49,'Base de données'!$CH$9:$CQ$91,10,FALSE)*100)/VLOOKUP(A49,'Base de données'!$CH$9:$CQ$91,8,FALSE)</f>
        <v>101.74021297117329</v>
      </c>
      <c r="D49" s="551"/>
      <c r="E49" s="552"/>
      <c r="F49" s="542">
        <f>IF($B$48='Aides traitements'!$E$4,((VLOOKUP(A49,'Base de données'!$CH$9:$CQ$91,4,FALSE)+VLOOKUP(A49,'Base de données'!$CH$9:$CQ$91,2,FALSE))/VLOOKUP(A49,'Base de données'!$CH$9:$CQ$91,3,FALSE))*100,((VLOOKUP(A49,'Base de données'!$CH$9:$CQ$91,7,FALSE)+VLOOKUP(A49,'Base de données'!$CH$9:$CQ$91,5,FALSE))/VLOOKUP(A49,'Base de données'!$CH$9:$CQ$91,6,FALSE))*100)</f>
        <v>69.752039457976096</v>
      </c>
      <c r="G49" s="542">
        <f>((VLOOKUP(A49,'Base de données'!$CH$9:$CQ$91,10,FALSE)+VLOOKUP(A49,'Base de données'!$CH$9:$CQ$91,8,FALSE))/VLOOKUP(A49,'Base de données'!$CH$9:$CQ$91,9,FALSE))*100</f>
        <v>78.669674590640227</v>
      </c>
      <c r="I49" s="1401"/>
      <c r="J49" s="1401"/>
      <c r="K49" s="1401"/>
      <c r="L49" s="393"/>
      <c r="M49" s="110"/>
    </row>
    <row r="50" spans="1:13" ht="12.75" customHeight="1">
      <c r="A50" s="190" t="str">
        <f>VLOOKUP(A49,'Aides traitements'!$A$5:$B$26,2,FALSE)</f>
        <v>Tours nord</v>
      </c>
      <c r="B50" s="223">
        <f>IF($B$48='Aides traitements'!$E$4,VLOOKUP(A50,'Base de données'!$CH$9:$CQ$91,4,FALSE)*100/VLOOKUP(A50,'Base de données'!$CH$9:$CQ$91,2,FALSE),VLOOKUP(A50,'Base de données'!$CH$9:$CQ$91,7,FALSE)*100/VLOOKUP(A50,'Base de données'!$CH$9:$CQ$91,5,FALSE))</f>
        <v>90.186587537742923</v>
      </c>
      <c r="C50" s="223">
        <f>(VLOOKUP(A50,'Base de données'!$CH$9:$CQ$91,10,FALSE)*100)/VLOOKUP(A50,'Base de données'!$CH$9:$CQ$91,8,FALSE)</f>
        <v>98.965879336296481</v>
      </c>
      <c r="D50" s="551"/>
      <c r="E50" s="552"/>
      <c r="F50" s="223">
        <f>IF($B$48='Aides traitements'!$E$4,((VLOOKUP(A50,'Base de données'!$CH$9:$CQ$91,4,FALSE)+VLOOKUP(A50,'Base de données'!$CH$9:$CQ$91,2,FALSE))/VLOOKUP(A50,'Base de données'!$CH$9:$CQ$91,3,FALSE))*100,((VLOOKUP(A50,'Base de données'!$CH$9:$CQ$91,7,FALSE)+VLOOKUP(A50,'Base de données'!$CH$9:$CQ$91,5,FALSE))/VLOOKUP(A50,'Base de données'!$CH$9:$CQ$91,6,FALSE))*100)</f>
        <v>70.704251407664842</v>
      </c>
      <c r="G50" s="223">
        <f>((VLOOKUP(A50,'Base de données'!$CH$9:$CQ$91,10,FALSE)+VLOOKUP(A50,'Base de données'!$CH$9:$CQ$91,8,FALSE))/VLOOKUP(A50,'Base de données'!$CH$9:$CQ$91,9,FALSE))*100</f>
        <v>74.933849338804478</v>
      </c>
      <c r="H50" s="550"/>
      <c r="I50" s="394"/>
      <c r="J50" s="394"/>
      <c r="K50" s="394"/>
      <c r="L50" s="394"/>
      <c r="M50" s="394"/>
    </row>
    <row r="51" spans="1:13">
      <c r="A51" s="190" t="s">
        <v>0</v>
      </c>
      <c r="B51" s="223">
        <f>IF($B$48='Aides traitements'!$E$4,VLOOKUP(A51,'Base de données'!$CH$9:$CQ$91,4,FALSE)*100/VLOOKUP(A51,'Base de données'!$CH$9:$CQ$91,2,FALSE),VLOOKUP(A51,'Base de données'!$CH$9:$CQ$91,7,FALSE)*100/VLOOKUP(A51,'Base de données'!$CH$9:$CQ$91,5,FALSE))</f>
        <v>74.983957762718802</v>
      </c>
      <c r="C51" s="223">
        <f>(VLOOKUP(A51,'Base de données'!$CH$9:$CQ$91,10,FALSE)*100)/VLOOKUP(A51,'Base de données'!$CH$9:$CQ$91,8,FALSE)</f>
        <v>80.541094271223173</v>
      </c>
      <c r="D51" s="551"/>
      <c r="E51" s="552"/>
      <c r="F51" s="223">
        <f>IF($B$48='Aides traitements'!$E$4,((VLOOKUP(A51,'Base de données'!$CH$9:$CQ$91,4,FALSE)+VLOOKUP(A51,'Base de données'!$CH$9:$CQ$91,2,FALSE))/VLOOKUP(A51,'Base de données'!$CH$9:$CQ$91,3,FALSE))*100,((VLOOKUP(A51,'Base de données'!$CH$9:$CQ$91,7,FALSE)+VLOOKUP(A51,'Base de données'!$CH$9:$CQ$91,5,FALSE))/VLOOKUP(A51,'Base de données'!$CH$9:$CQ$91,6,FALSE))*100)</f>
        <v>65.301082033613127</v>
      </c>
      <c r="G51" s="223">
        <f>((VLOOKUP(A51,'Base de données'!$CH$9:$CQ$91,10,FALSE)+VLOOKUP(A51,'Base de données'!$CH$9:$CQ$91,8,FALSE))/VLOOKUP(A51,'Base de données'!$CH$9:$CQ$91,9,FALSE))*100</f>
        <v>71.830038489872749</v>
      </c>
      <c r="H51" s="550"/>
      <c r="I51" s="394"/>
      <c r="J51" s="394"/>
      <c r="K51" s="394"/>
      <c r="L51" s="394"/>
      <c r="M51" s="394"/>
    </row>
    <row r="52" spans="1:13">
      <c r="A52" s="836" t="s">
        <v>304</v>
      </c>
      <c r="B52" s="871"/>
      <c r="C52" s="871"/>
      <c r="F52" s="871"/>
      <c r="G52" s="871"/>
      <c r="H52" s="550"/>
      <c r="I52" s="394"/>
      <c r="J52" s="394"/>
      <c r="K52" s="394"/>
      <c r="L52" s="394"/>
      <c r="M52" s="394"/>
    </row>
    <row r="53" spans="1:13" ht="11.25" customHeight="1">
      <c r="A53" s="224" t="str">
        <f>CONCATENATE("Sources : Insee, RP",INDEX('Aides traitements'!$E$4:$E$5,'Page de garde'!$G$4,1)," et RP",'Aides traitements'!$I$11," exploitations principales")</f>
        <v>Sources : Insee, RP2009 et RP2020 exploitations principales</v>
      </c>
      <c r="B53" s="15"/>
      <c r="C53" s="15"/>
      <c r="D53" s="550"/>
      <c r="E53" s="550"/>
      <c r="F53" s="15"/>
      <c r="G53" s="15"/>
      <c r="H53" s="550"/>
      <c r="I53" s="394"/>
      <c r="J53" s="394"/>
      <c r="K53" s="394"/>
      <c r="L53" s="394"/>
      <c r="M53" s="394"/>
    </row>
    <row r="54" spans="1:13" ht="14.25" customHeight="1">
      <c r="B54" s="1404" t="s">
        <v>471</v>
      </c>
      <c r="C54" s="1404"/>
      <c r="D54" s="1404"/>
      <c r="E54" s="14"/>
      <c r="F54" s="1404" t="s">
        <v>473</v>
      </c>
      <c r="G54" s="1404"/>
      <c r="H54" s="1404"/>
      <c r="I54" s="394"/>
      <c r="J54" s="394"/>
      <c r="K54" s="394"/>
      <c r="L54" s="394"/>
      <c r="M54" s="394"/>
    </row>
    <row r="55" spans="1:13" ht="14.25" customHeight="1">
      <c r="B55" s="1404"/>
      <c r="C55" s="1404"/>
      <c r="D55" s="1404"/>
      <c r="E55" s="14"/>
      <c r="F55" s="1404"/>
      <c r="G55" s="1404"/>
      <c r="H55" s="1404"/>
      <c r="I55" s="394"/>
      <c r="J55" s="394"/>
      <c r="K55" s="394"/>
      <c r="L55" s="394"/>
      <c r="M55" s="394"/>
    </row>
    <row r="56" spans="1:13" ht="9" customHeight="1">
      <c r="B56" s="1404"/>
      <c r="C56" s="1404"/>
      <c r="D56" s="1404"/>
      <c r="E56" s="14"/>
      <c r="F56" s="1404"/>
      <c r="G56" s="1404"/>
      <c r="H56" s="1404"/>
      <c r="I56" s="14"/>
      <c r="J56" s="14"/>
      <c r="K56" s="14"/>
      <c r="L56" s="14"/>
      <c r="M56" s="14"/>
    </row>
    <row r="57" spans="1:13" ht="15" customHeight="1">
      <c r="A57" s="396" t="s">
        <v>444</v>
      </c>
      <c r="B57" s="385"/>
      <c r="C57" s="385"/>
      <c r="D57" s="385"/>
      <c r="E57" s="385"/>
      <c r="F57" s="385"/>
      <c r="G57" s="385"/>
      <c r="H57" s="385"/>
      <c r="I57" s="386"/>
      <c r="J57" s="386"/>
      <c r="K57" s="386"/>
      <c r="L57" s="386"/>
      <c r="M57" s="386"/>
    </row>
    <row r="58" spans="1:13" ht="3.75" customHeight="1">
      <c r="A58" s="110"/>
      <c r="B58" s="110"/>
      <c r="C58" s="387"/>
      <c r="D58" s="110"/>
      <c r="E58" s="110"/>
      <c r="F58" s="110"/>
      <c r="G58" s="110"/>
      <c r="H58" s="110"/>
      <c r="I58" s="110"/>
      <c r="J58" s="110"/>
      <c r="K58" s="110"/>
      <c r="L58" s="110"/>
      <c r="M58" s="110"/>
    </row>
    <row r="59" spans="1:13" ht="14.25" customHeight="1">
      <c r="A59" s="1403" t="str">
        <f>INDEX('Aides traitements'!$A$5:$A$58,'Page de garde'!$C$4,1)</f>
        <v>Paul Bert</v>
      </c>
      <c r="B59" s="1403"/>
      <c r="C59" s="1403"/>
      <c r="D59" s="1403"/>
      <c r="E59" s="1403"/>
      <c r="F59" s="1403"/>
      <c r="G59" s="388"/>
      <c r="H59" s="1402" t="str">
        <f>VLOOKUP(A41,'Aides traitements'!$A$5:$B$58,2,FALSE)</f>
        <v>Tours nord</v>
      </c>
      <c r="I59" s="1402"/>
      <c r="J59" s="388"/>
      <c r="K59" s="388"/>
      <c r="L59" s="388"/>
      <c r="M59" s="388"/>
    </row>
    <row r="60" spans="1:13" ht="9.75" customHeight="1">
      <c r="A60" s="389"/>
      <c r="B60" s="389"/>
      <c r="C60" s="389"/>
      <c r="D60" s="389"/>
      <c r="E60" s="389"/>
      <c r="F60" s="389"/>
      <c r="G60" s="110"/>
      <c r="H60" s="389"/>
      <c r="I60" s="389"/>
      <c r="J60" s="389"/>
      <c r="K60" s="389"/>
      <c r="L60" s="389"/>
      <c r="M60" s="389"/>
    </row>
    <row r="61" spans="1:13">
      <c r="A61" s="110"/>
      <c r="B61" s="110"/>
      <c r="C61" s="110"/>
      <c r="D61" s="110"/>
      <c r="E61" s="110"/>
      <c r="F61" s="110"/>
      <c r="G61" s="110"/>
      <c r="H61" s="110"/>
      <c r="I61" s="110"/>
      <c r="J61" s="110"/>
      <c r="K61" s="110"/>
      <c r="L61" s="110"/>
      <c r="M61" s="110"/>
    </row>
    <row r="62" spans="1:13">
      <c r="A62" s="110"/>
      <c r="B62" s="110"/>
      <c r="C62" s="110"/>
      <c r="D62" s="110"/>
      <c r="E62" s="110"/>
      <c r="F62" s="110"/>
      <c r="G62" s="110"/>
      <c r="H62" s="110"/>
      <c r="I62" s="110"/>
      <c r="J62" s="110"/>
      <c r="K62" s="110"/>
      <c r="L62" s="110"/>
      <c r="M62" s="110"/>
    </row>
    <row r="63" spans="1:13">
      <c r="A63" s="110"/>
      <c r="B63" s="110"/>
      <c r="C63" s="110"/>
      <c r="D63" s="110"/>
      <c r="E63" s="110"/>
      <c r="F63" s="110"/>
      <c r="G63" s="110"/>
      <c r="H63" s="110"/>
      <c r="I63" s="110"/>
      <c r="J63" s="110"/>
      <c r="K63" s="110"/>
      <c r="L63" s="110"/>
      <c r="M63" s="110"/>
    </row>
    <row r="64" spans="1:13">
      <c r="A64" s="110"/>
      <c r="B64" s="110"/>
      <c r="C64" s="110"/>
      <c r="D64" s="110"/>
      <c r="E64" s="110"/>
      <c r="F64" s="110"/>
      <c r="G64" s="110"/>
      <c r="H64" s="110"/>
      <c r="I64" s="110"/>
      <c r="J64" s="110"/>
      <c r="K64" s="110"/>
      <c r="L64" s="110"/>
      <c r="M64" s="110"/>
    </row>
    <row r="65" spans="1:15">
      <c r="A65" s="110"/>
      <c r="B65" s="110"/>
      <c r="C65" s="110"/>
      <c r="D65" s="110"/>
      <c r="E65" s="110"/>
      <c r="F65" s="110"/>
      <c r="G65" s="110"/>
      <c r="H65" s="110"/>
      <c r="I65" s="110"/>
      <c r="J65" s="110"/>
      <c r="K65" s="110"/>
      <c r="L65" s="110"/>
      <c r="M65" s="110"/>
    </row>
    <row r="66" spans="1:15">
      <c r="A66" s="110"/>
      <c r="B66" s="110"/>
      <c r="C66" s="110"/>
      <c r="D66" s="110"/>
      <c r="E66" s="110"/>
      <c r="F66" s="110"/>
      <c r="G66" s="110"/>
      <c r="H66" s="110"/>
      <c r="I66" s="110"/>
      <c r="J66" s="110"/>
      <c r="K66" s="110"/>
      <c r="L66" s="110"/>
      <c r="M66" s="110"/>
    </row>
    <row r="67" spans="1:15">
      <c r="A67" s="110"/>
      <c r="B67" s="110"/>
      <c r="C67" s="110"/>
      <c r="D67" s="110"/>
      <c r="E67" s="110"/>
      <c r="F67" s="110"/>
      <c r="G67" s="390"/>
      <c r="H67" s="110"/>
      <c r="I67" s="110"/>
      <c r="J67" s="110"/>
      <c r="K67" s="110"/>
      <c r="L67" s="110"/>
      <c r="M67" s="110"/>
    </row>
    <row r="68" spans="1:15">
      <c r="A68" s="110"/>
      <c r="B68" s="110"/>
      <c r="C68" s="110"/>
      <c r="D68" s="110"/>
      <c r="E68" s="110"/>
      <c r="F68" s="110"/>
      <c r="G68" s="110"/>
      <c r="H68" s="110"/>
      <c r="I68" s="110"/>
      <c r="J68" s="110"/>
      <c r="K68" s="110"/>
      <c r="L68" s="110"/>
      <c r="M68" s="110"/>
    </row>
    <row r="69" spans="1:15" s="1" customFormat="1" ht="12" customHeight="1">
      <c r="A69" s="391"/>
      <c r="B69" s="391"/>
      <c r="C69" s="391"/>
      <c r="D69" s="391"/>
      <c r="E69" s="391"/>
      <c r="F69" s="391"/>
      <c r="G69" s="391"/>
      <c r="H69" s="391"/>
      <c r="I69" s="391"/>
      <c r="J69" s="391"/>
      <c r="K69" s="391"/>
      <c r="L69" s="391"/>
      <c r="M69" s="391"/>
    </row>
    <row r="70" spans="1:15">
      <c r="A70" s="110"/>
      <c r="B70" s="110"/>
      <c r="C70" s="110"/>
      <c r="D70" s="110"/>
      <c r="E70" s="110"/>
      <c r="F70" s="110"/>
      <c r="G70" s="110"/>
      <c r="H70" s="110"/>
      <c r="I70" s="110"/>
      <c r="J70" s="110"/>
      <c r="K70" s="110"/>
      <c r="L70" s="110"/>
      <c r="M70" s="110"/>
      <c r="N70" s="7"/>
    </row>
    <row r="71" spans="1:15">
      <c r="A71" s="110"/>
      <c r="B71" s="110"/>
      <c r="C71" s="110"/>
      <c r="D71" s="110"/>
      <c r="E71" s="110"/>
      <c r="F71" s="110"/>
      <c r="G71" s="110"/>
      <c r="H71" s="110"/>
      <c r="I71" s="110"/>
      <c r="J71" s="110"/>
      <c r="K71" s="110"/>
      <c r="L71" s="110"/>
      <c r="M71" s="110"/>
      <c r="N71" s="7"/>
    </row>
    <row r="72" spans="1:15">
      <c r="A72" s="110"/>
      <c r="B72" s="110"/>
      <c r="C72" s="110"/>
      <c r="D72" s="110"/>
      <c r="E72" s="110"/>
      <c r="F72" s="110"/>
      <c r="G72" s="110"/>
      <c r="H72" s="110"/>
      <c r="I72" s="110"/>
      <c r="J72" s="110"/>
      <c r="K72" s="110"/>
      <c r="L72" s="110"/>
      <c r="M72" s="110"/>
      <c r="N72" s="7"/>
    </row>
    <row r="73" spans="1:15">
      <c r="A73" s="110"/>
      <c r="B73" s="110"/>
      <c r="C73" s="110"/>
      <c r="D73" s="110"/>
      <c r="E73" s="110"/>
      <c r="F73" s="110"/>
      <c r="G73" s="110"/>
      <c r="H73" s="110"/>
      <c r="I73" s="110"/>
      <c r="J73" s="110"/>
      <c r="K73" s="110"/>
      <c r="L73" s="110"/>
      <c r="M73" s="110"/>
      <c r="N73" s="7"/>
      <c r="O73" s="6"/>
    </row>
    <row r="74" spans="1:15">
      <c r="A74" s="110"/>
      <c r="B74" s="110"/>
      <c r="C74" s="110"/>
      <c r="D74" s="110"/>
      <c r="E74" s="110"/>
      <c r="F74" s="110"/>
      <c r="G74" s="110"/>
      <c r="H74" s="110"/>
      <c r="I74" s="110"/>
      <c r="J74" s="110"/>
      <c r="K74" s="110"/>
      <c r="L74" s="110"/>
      <c r="M74" s="110"/>
      <c r="N74" s="7"/>
    </row>
    <row r="75" spans="1:15">
      <c r="A75" s="110"/>
      <c r="B75" s="110"/>
      <c r="C75" s="110"/>
      <c r="D75" s="110"/>
      <c r="E75" s="110"/>
      <c r="F75" s="110"/>
      <c r="G75" s="110"/>
      <c r="H75" s="110"/>
      <c r="I75" s="110"/>
      <c r="J75" s="110"/>
      <c r="K75" s="110"/>
      <c r="L75" s="110"/>
      <c r="M75" s="110"/>
      <c r="N75" s="7"/>
    </row>
    <row r="76" spans="1:15">
      <c r="A76" s="110"/>
      <c r="B76" s="110"/>
      <c r="C76" s="110"/>
      <c r="D76" s="110"/>
      <c r="E76" s="110"/>
      <c r="F76" s="110"/>
      <c r="G76" s="110"/>
      <c r="H76" s="110"/>
      <c r="I76" s="110"/>
      <c r="J76" s="110"/>
      <c r="K76" s="110"/>
      <c r="L76" s="110"/>
      <c r="M76" s="110"/>
      <c r="N76" s="7"/>
    </row>
    <row r="77" spans="1:15">
      <c r="A77" s="110"/>
      <c r="B77" s="110"/>
      <c r="C77" s="110"/>
      <c r="D77" s="110"/>
      <c r="E77" s="110"/>
      <c r="F77" s="110"/>
      <c r="G77" s="110"/>
      <c r="H77" s="110"/>
      <c r="I77" s="110"/>
      <c r="J77" s="110"/>
      <c r="K77" s="110"/>
      <c r="L77" s="110"/>
      <c r="M77" s="110"/>
      <c r="N77" s="7"/>
    </row>
    <row r="78" spans="1:15" ht="12" customHeight="1">
      <c r="A78" s="110"/>
      <c r="B78" s="110"/>
      <c r="C78" s="110"/>
      <c r="D78" s="110"/>
      <c r="E78" s="110"/>
      <c r="F78" s="110"/>
      <c r="G78" s="110"/>
      <c r="H78" s="110"/>
      <c r="I78" s="110"/>
      <c r="J78" s="110"/>
      <c r="K78" s="110"/>
      <c r="L78" s="110"/>
      <c r="M78" s="110"/>
      <c r="N78" s="7"/>
    </row>
  </sheetData>
  <sheetProtection algorithmName="SHA-512" hashValue="D6zjB6XcOFePLiAkvJyknuKu9sYjK+zrM/0j87bGx23RwDkyaOFIgb3gocak5I++Jp3/9dJnqMdIAVBFHFSaPw==" saltValue="ZBWqHwEpa176clnNQ5e+eg==" spinCount="100000" sheet="1" objects="1" scenarios="1"/>
  <mergeCells count="36">
    <mergeCell ref="L5:M5"/>
    <mergeCell ref="L16:M16"/>
    <mergeCell ref="K5:K6"/>
    <mergeCell ref="K16:K17"/>
    <mergeCell ref="I16:J16"/>
    <mergeCell ref="I5:J5"/>
    <mergeCell ref="A16:A17"/>
    <mergeCell ref="H16:H17"/>
    <mergeCell ref="A5:A6"/>
    <mergeCell ref="H5:H6"/>
    <mergeCell ref="D5:D6"/>
    <mergeCell ref="B5:C5"/>
    <mergeCell ref="D16:D17"/>
    <mergeCell ref="B16:C16"/>
    <mergeCell ref="E5:F5"/>
    <mergeCell ref="E16:F16"/>
    <mergeCell ref="A27:A28"/>
    <mergeCell ref="A39:A40"/>
    <mergeCell ref="B39:D39"/>
    <mergeCell ref="F47:G47"/>
    <mergeCell ref="L27:M27"/>
    <mergeCell ref="I27:J27"/>
    <mergeCell ref="E39:G39"/>
    <mergeCell ref="K27:K28"/>
    <mergeCell ref="D27:D28"/>
    <mergeCell ref="H27:H28"/>
    <mergeCell ref="A47:A48"/>
    <mergeCell ref="B47:C47"/>
    <mergeCell ref="I48:K48"/>
    <mergeCell ref="B27:C27"/>
    <mergeCell ref="E27:F27"/>
    <mergeCell ref="I49:K49"/>
    <mergeCell ref="H59:I59"/>
    <mergeCell ref="A59:F59"/>
    <mergeCell ref="B54:D56"/>
    <mergeCell ref="F54:H56"/>
  </mergeCells>
  <printOptions horizontalCentered="1"/>
  <pageMargins left="0.23622047244094491" right="0.19685039370078741" top="0.31496062992125984" bottom="0.31496062992125984" header="0.23622047244094491" footer="0.19685039370078741"/>
  <pageSetup paperSize="8" scale="94" orientation="portrait" r:id="rId1"/>
  <headerFooter scaleWithDoc="0">
    <oddFooter>&amp;LDGPU Ville de Tours&amp;CPage &amp;P&amp;RPortrait_Tours_RP2020.xlsx</oddFooter>
  </headerFooter>
  <rowBreaks count="1" manualBreakCount="1">
    <brk id="35" max="12"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0">
    <tabColor rgb="FF67A6A5"/>
  </sheetPr>
  <dimension ref="A1:J30"/>
  <sheetViews>
    <sheetView showGridLines="0" zoomScale="90" zoomScaleNormal="90" zoomScaleSheetLayoutView="115" workbookViewId="0">
      <selection activeCell="B11" sqref="B11"/>
    </sheetView>
  </sheetViews>
  <sheetFormatPr baseColWidth="10" defaultRowHeight="13.2"/>
  <cols>
    <col min="1" max="1" width="23.6640625" customWidth="1"/>
    <col min="2" max="2" width="19.44140625" customWidth="1"/>
    <col min="3" max="6" width="10.33203125" customWidth="1"/>
    <col min="7" max="8" width="9.33203125" customWidth="1"/>
  </cols>
  <sheetData>
    <row r="1" spans="1:10" ht="18.600000000000001" customHeight="1">
      <c r="A1" s="1413" t="s">
        <v>361</v>
      </c>
      <c r="B1" s="1413"/>
      <c r="C1" s="1413"/>
      <c r="D1" s="1413"/>
      <c r="E1" s="1413"/>
      <c r="F1" s="1413"/>
      <c r="G1" s="1413"/>
      <c r="H1" s="1413"/>
    </row>
    <row r="2" spans="1:10" ht="14.25" customHeight="1"/>
    <row r="3" spans="1:10" ht="15" customHeight="1">
      <c r="A3" s="87" t="s">
        <v>303</v>
      </c>
      <c r="B3" s="86"/>
      <c r="C3" s="86"/>
      <c r="D3" s="86"/>
      <c r="E3" s="86"/>
      <c r="F3" s="86"/>
      <c r="G3" s="86"/>
      <c r="H3" s="86"/>
    </row>
    <row r="4" spans="1:10" ht="16.2" customHeight="1">
      <c r="A4" t="s">
        <v>665</v>
      </c>
      <c r="C4" s="885"/>
      <c r="D4" s="885"/>
      <c r="E4" s="885"/>
      <c r="G4" s="885"/>
      <c r="H4" s="885"/>
    </row>
    <row r="5" spans="1:10" ht="15" customHeight="1">
      <c r="A5" s="884"/>
      <c r="B5" s="885"/>
      <c r="C5" s="97"/>
      <c r="D5" s="885"/>
      <c r="E5" s="885"/>
      <c r="F5" s="885"/>
      <c r="G5" s="885"/>
      <c r="H5" s="885"/>
    </row>
    <row r="6" spans="1:10" ht="13.2" customHeight="1">
      <c r="A6" s="884">
        <v>8</v>
      </c>
      <c r="B6" s="889"/>
      <c r="D6" s="885"/>
      <c r="F6" s="885"/>
      <c r="G6" s="885"/>
      <c r="H6" s="885"/>
    </row>
    <row r="7" spans="1:10" ht="14.25" customHeight="1"/>
    <row r="8" spans="1:10" s="1" customFormat="1" ht="15.75" customHeight="1">
      <c r="A8" s="1405" t="str">
        <f>CONCATENATE("Les foyers fiscaux en"," ", 'Aides traitements'!I11)</f>
        <v>Les foyers fiscaux en 2020</v>
      </c>
      <c r="B8" s="887" t="s">
        <v>653</v>
      </c>
      <c r="C8" s="1414" t="s">
        <v>686</v>
      </c>
      <c r="D8" s="1414"/>
      <c r="E8" s="1414"/>
      <c r="F8" s="1414"/>
      <c r="G8" s="1415"/>
    </row>
    <row r="9" spans="1:10" ht="52.8">
      <c r="A9" s="1405"/>
      <c r="B9" s="888" t="s">
        <v>660</v>
      </c>
      <c r="C9" s="888" t="s">
        <v>687</v>
      </c>
      <c r="D9" s="888" t="s">
        <v>655</v>
      </c>
      <c r="E9" s="888" t="s">
        <v>649</v>
      </c>
      <c r="F9" s="888" t="s">
        <v>650</v>
      </c>
      <c r="G9" s="888" t="s">
        <v>651</v>
      </c>
      <c r="J9" s="879">
        <v>2</v>
      </c>
    </row>
    <row r="10" spans="1:10" ht="13.5" customHeight="1">
      <c r="A10" s="886" t="str">
        <f>INDEX('Aides traitements'!$A$29:$A$85,$A$6,1)</f>
        <v>Grammont 3</v>
      </c>
      <c r="B10" s="890">
        <f>VLOOKUP($A$10,'Base de données'!$DG$9:$DM$65,2,FALSE)/100</f>
        <v>0.52900000000000003</v>
      </c>
      <c r="C10" s="890">
        <f>VLOOKUP($A$10,'Base de données'!$DG$9:$DM$65,3,FALSE)/100</f>
        <v>0.193</v>
      </c>
      <c r="D10" s="1076" t="str">
        <f>VLOOKUP($A$10,'Base de données'!$DG$9:$DM$65,4,FALSE)</f>
        <v>23390</v>
      </c>
      <c r="E10" s="1077" t="str">
        <f>VLOOKUP($A$10,'Base de données'!$DG$9:$DM$65,5,FALSE)</f>
        <v>10250</v>
      </c>
      <c r="F10" s="1077" t="str">
        <f>VLOOKUP($A$10,'Base de données'!$DG$9:$DM$65,6,FALSE)</f>
        <v>43070</v>
      </c>
      <c r="G10" s="1074" t="str">
        <f>VLOOKUP($A$10,'Base de données'!$DG$9:$DM$65,7,FALSE)</f>
        <v>4,2</v>
      </c>
    </row>
    <row r="11" spans="1:10" ht="13.5" customHeight="1">
      <c r="A11" s="1073" t="s">
        <v>0</v>
      </c>
      <c r="B11" s="890">
        <f>VLOOKUP($A$11,'Base de données'!$DG$9:$DM$91,2,FALSE)/100</f>
        <v>0.47</v>
      </c>
      <c r="C11" s="890">
        <f>VLOOKUP($A$11,'Base de données'!$DG$9:$DM$91,3,FALSE)/100</f>
        <v>0.2</v>
      </c>
      <c r="D11" s="1076">
        <f>VLOOKUP($A$11,'Base de données'!$DG$9:$DM$91,4,FALSE)</f>
        <v>20640</v>
      </c>
      <c r="E11" s="1077">
        <f>VLOOKUP($A$11,'Base de données'!$DG$9:$DM$91,5,FALSE)</f>
        <v>10420</v>
      </c>
      <c r="F11" s="1077">
        <f>VLOOKUP($A$11,'Base de données'!$DG$9:$DM$91,6,FALSE)</f>
        <v>38460</v>
      </c>
      <c r="G11" s="1074">
        <f>VLOOKUP($A$11,'Base de données'!$DG$9:$DM$91,7,FALSE)</f>
        <v>3.7</v>
      </c>
    </row>
    <row r="12" spans="1:10" ht="10.5" customHeight="1">
      <c r="A12" s="838" t="s">
        <v>648</v>
      </c>
    </row>
    <row r="13" spans="1:10" ht="14.25" customHeight="1"/>
    <row r="14" spans="1:10" ht="14.25" customHeight="1"/>
    <row r="15" spans="1:10" ht="14.25" customHeight="1"/>
    <row r="16" spans="1:10"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3.2" customHeight="1"/>
    <row r="29" ht="13.2" customHeight="1"/>
    <row r="30" ht="14.25" customHeight="1"/>
  </sheetData>
  <sheetProtection algorithmName="SHA-512" hashValue="pu+HJTDBqiV7201BETZOjO22tSIZmKaUZ5M1vyZ7RvtJNSqvWXVcn9/xJViNOkHN8yk9sRnJB4qcjySNE4a2Vw==" saltValue="JBeotdZ+6XSfRnRsoYVuxA==" spinCount="100000" sheet="1" objects="1" scenarios="1"/>
  <mergeCells count="3">
    <mergeCell ref="A1:H1"/>
    <mergeCell ref="A8:A9"/>
    <mergeCell ref="C8:G8"/>
  </mergeCells>
  <printOptions horizontalCentered="1"/>
  <pageMargins left="0.23622047244094491" right="0.19685039370078741" top="0.31496062992125984" bottom="0.31496062992125984" header="0.23622047244094491" footer="0.19685039370078741"/>
  <pageSetup paperSize="9" orientation="landscape" r:id="rId1"/>
  <headerFooter scaleWithDoc="0">
    <oddFooter>&amp;LDGPU Ville de Tours&amp;C&amp;"Arial Narrow,Normal"&amp;9&amp;P/&amp;N&amp;RDernière mise à jour décembre 2020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64" r:id="rId4" name="Drop Down 8">
              <controlPr defaultSize="0" autoLine="0" autoPict="0">
                <anchor moveWithCells="1">
                  <from>
                    <xdr:col>0</xdr:col>
                    <xdr:colOff>0</xdr:colOff>
                    <xdr:row>4</xdr:row>
                    <xdr:rowOff>114300</xdr:rowOff>
                  </from>
                  <to>
                    <xdr:col>1</xdr:col>
                    <xdr:colOff>297180</xdr:colOff>
                    <xdr:row>6</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rgb="FF67A6A5"/>
    <pageSetUpPr fitToPage="1"/>
  </sheetPr>
  <dimension ref="A1:V68"/>
  <sheetViews>
    <sheetView showGridLines="0" topLeftCell="A46" zoomScale="120" zoomScaleNormal="120" zoomScaleSheetLayoutView="115" zoomScalePageLayoutView="115" workbookViewId="0">
      <selection activeCell="D49" sqref="D49"/>
    </sheetView>
  </sheetViews>
  <sheetFormatPr baseColWidth="10" defaultColWidth="10.44140625" defaultRowHeight="13.8"/>
  <cols>
    <col min="1" max="1" width="27" style="55" customWidth="1"/>
    <col min="2" max="6" width="9.5546875" style="55" customWidth="1"/>
    <col min="7" max="7" width="8.5546875" style="55" customWidth="1"/>
    <col min="8" max="8" width="7.6640625" style="55" customWidth="1"/>
    <col min="9" max="9" width="10.6640625" style="55" customWidth="1"/>
    <col min="10" max="10" width="8.5546875" style="55" customWidth="1"/>
    <col min="11" max="14" width="9.5546875" style="55" customWidth="1"/>
    <col min="15" max="15" width="5.6640625" style="55" customWidth="1"/>
    <col min="16" max="16384" width="10.44140625" style="55"/>
  </cols>
  <sheetData>
    <row r="1" spans="1:22" ht="19.5" customHeight="1">
      <c r="A1" s="440" t="s">
        <v>362</v>
      </c>
      <c r="B1" s="308"/>
      <c r="C1" s="308"/>
      <c r="D1" s="308"/>
      <c r="E1" s="308"/>
      <c r="F1" s="308"/>
      <c r="G1" s="308"/>
      <c r="H1" s="308"/>
      <c r="I1" s="308"/>
      <c r="J1" s="308"/>
      <c r="K1" s="308"/>
      <c r="L1" s="308"/>
      <c r="M1" s="308"/>
      <c r="N1" s="308"/>
      <c r="O1" s="314" t="str">
        <f>CONCATENATE("Les données concernent les territoires en vigueur au 1er janvier"," ",'Aides traitements'!L4)</f>
        <v>Les données concernent les territoires en vigueur au 1er janvier 2022</v>
      </c>
      <c r="P1"/>
      <c r="Q1"/>
      <c r="R1"/>
    </row>
    <row r="2" spans="1:22" s="3" customFormat="1" ht="14.25" customHeight="1">
      <c r="A2" s="13"/>
      <c r="B2" s="13"/>
      <c r="C2" s="13"/>
      <c r="D2" s="13"/>
      <c r="E2" s="13"/>
      <c r="F2" s="13"/>
      <c r="G2" s="13"/>
      <c r="H2" s="13"/>
      <c r="I2" s="13"/>
      <c r="J2" s="13"/>
      <c r="K2" s="13"/>
      <c r="L2" s="13"/>
      <c r="M2" s="13"/>
      <c r="N2" s="13"/>
      <c r="O2" s="13"/>
      <c r="P2"/>
      <c r="Q2"/>
      <c r="R2"/>
    </row>
    <row r="3" spans="1:22" s="67" customFormat="1" ht="15" customHeight="1">
      <c r="A3" s="76" t="s">
        <v>65</v>
      </c>
      <c r="B3" s="77"/>
      <c r="C3" s="77"/>
      <c r="D3" s="77"/>
      <c r="E3" s="77"/>
      <c r="F3" s="77"/>
      <c r="G3" s="77"/>
      <c r="H3" s="77"/>
      <c r="I3" s="77"/>
      <c r="J3" s="77"/>
      <c r="K3" s="77"/>
      <c r="L3" s="77"/>
      <c r="M3" s="77"/>
      <c r="N3" s="77"/>
      <c r="O3" s="77"/>
      <c r="P3"/>
      <c r="Q3"/>
      <c r="R3"/>
    </row>
    <row r="4" spans="1:22" s="3" customFormat="1" ht="14.25" customHeight="1">
      <c r="A4" s="13"/>
      <c r="B4" s="13"/>
      <c r="C4" s="13"/>
      <c r="D4" s="13"/>
      <c r="E4" s="13"/>
      <c r="F4" s="13"/>
      <c r="G4" s="13"/>
      <c r="H4" s="13"/>
      <c r="I4" s="13"/>
      <c r="J4" s="78"/>
      <c r="K4" s="78"/>
      <c r="L4" s="78"/>
      <c r="M4" s="78"/>
      <c r="N4" s="78"/>
      <c r="O4" s="78"/>
      <c r="P4"/>
      <c r="Q4"/>
      <c r="R4"/>
      <c r="S4" s="13"/>
      <c r="T4" s="13"/>
      <c r="U4" s="13"/>
      <c r="V4" s="13"/>
    </row>
    <row r="5" spans="1:22" s="3" customFormat="1" ht="15.6">
      <c r="A5" s="52" t="str">
        <f>CONCATENATE("Nombre de ménages depuis"," ",'Aides traitements'!I9)</f>
        <v>Nombre de ménages depuis 2009</v>
      </c>
      <c r="B5" s="891">
        <f>'Aides traitements'!$I$9</f>
        <v>2009</v>
      </c>
      <c r="C5" s="891">
        <f>'Aides traitements'!$I$10</f>
        <v>2014</v>
      </c>
      <c r="D5" s="891">
        <f>'Aides traitements'!$I$11</f>
        <v>2020</v>
      </c>
      <c r="E5" s="892"/>
      <c r="F5" s="893"/>
      <c r="G5" s="893"/>
      <c r="H5" s="893"/>
      <c r="I5" s="13"/>
      <c r="J5" s="78"/>
      <c r="K5" s="78"/>
      <c r="L5" s="78"/>
      <c r="M5" s="78"/>
      <c r="N5" s="78"/>
      <c r="O5" s="78"/>
      <c r="P5"/>
      <c r="Q5"/>
      <c r="R5"/>
      <c r="S5" s="13"/>
      <c r="T5" s="13"/>
      <c r="U5" s="13"/>
      <c r="V5" s="13"/>
    </row>
    <row r="6" spans="1:22" s="3" customFormat="1" ht="13.5" customHeight="1">
      <c r="A6" s="189" t="str">
        <f>INDEX('Aides traitements'!$A$5:$A$26,'Page de garde'!$C$4,1)</f>
        <v>Paul Bert</v>
      </c>
      <c r="B6" s="187">
        <f>VLOOKUP($A6,'Base de données'!$DO$9:$DR$91,2,FALSE)</f>
        <v>1488.1216899999999</v>
      </c>
      <c r="C6" s="187">
        <f>VLOOKUP($A6,'Base de données'!$DO$9:$DR$91,3,FALSE)</f>
        <v>1583.9806283992559</v>
      </c>
      <c r="D6" s="187">
        <f>VLOOKUP($A6,'Base de données'!$DO$9:$DR$91,4,FALSE)</f>
        <v>1711.12983064334</v>
      </c>
      <c r="E6" s="894"/>
      <c r="F6" s="895"/>
      <c r="G6" s="895"/>
      <c r="H6" s="895"/>
      <c r="I6" s="13"/>
      <c r="J6" s="78"/>
      <c r="K6" s="78" t="str">
        <f>"Taille moyenne des ménages"</f>
        <v>Taille moyenne des ménages</v>
      </c>
      <c r="L6" s="78"/>
      <c r="M6" s="78"/>
      <c r="N6" s="78"/>
      <c r="O6" s="78"/>
      <c r="P6"/>
      <c r="Q6"/>
      <c r="R6"/>
      <c r="S6" s="228"/>
      <c r="T6" s="228"/>
      <c r="U6" s="228"/>
      <c r="V6" s="228"/>
    </row>
    <row r="7" spans="1:22" s="3" customFormat="1" ht="13.5" customHeight="1">
      <c r="A7" s="190" t="str">
        <f>VLOOKUP(A6,'Aides traitements'!$A$5:$B$26,2,FALSE)</f>
        <v>Tours nord</v>
      </c>
      <c r="B7" s="84">
        <f>VLOOKUP($A7,'Base de données'!$DO$9:$DR$91,2,FALSE)</f>
        <v>17573.211284000001</v>
      </c>
      <c r="C7" s="84">
        <f>VLOOKUP($A7,'Base de données'!$DO$9:$DR$91,3,FALSE)</f>
        <v>18750.280281662835</v>
      </c>
      <c r="D7" s="84">
        <f>VLOOKUP($A7,'Base de données'!$DO$9:$DR$91,4,FALSE)</f>
        <v>21586.659991269309</v>
      </c>
      <c r="E7" s="896"/>
      <c r="F7" s="547"/>
      <c r="G7" s="895"/>
      <c r="H7" s="895"/>
      <c r="I7" s="13"/>
      <c r="J7" s="78"/>
      <c r="K7" s="78"/>
      <c r="L7" s="78"/>
      <c r="M7" s="78"/>
      <c r="N7" s="78"/>
      <c r="O7" s="78"/>
      <c r="P7"/>
      <c r="Q7"/>
      <c r="R7"/>
      <c r="S7" s="229"/>
      <c r="T7" s="229"/>
      <c r="U7" s="229"/>
      <c r="V7" s="229"/>
    </row>
    <row r="8" spans="1:22" s="3" customFormat="1" ht="13.5" customHeight="1">
      <c r="A8" s="190" t="s">
        <v>0</v>
      </c>
      <c r="B8" s="84">
        <f>VLOOKUP($A8,'Base de données'!$DO$9:$DR$91,2,FALSE)</f>
        <v>72530.205828000006</v>
      </c>
      <c r="C8" s="84">
        <f>VLOOKUP($A8,'Base de données'!$DO$9:$DR$91,3,FALSE)</f>
        <v>73131.191503709299</v>
      </c>
      <c r="D8" s="84">
        <f>VLOOKUP($A8,'Base de données'!$DO$9:$DR$91,4,FALSE)</f>
        <v>76489.646186695172</v>
      </c>
      <c r="E8" s="896"/>
      <c r="F8" s="547"/>
      <c r="G8" s="895"/>
      <c r="H8" s="895"/>
      <c r="I8" s="13"/>
      <c r="J8" s="78"/>
      <c r="K8" s="78"/>
      <c r="L8" s="78"/>
      <c r="M8" s="78"/>
      <c r="N8" s="78"/>
      <c r="O8" s="78"/>
      <c r="P8"/>
      <c r="Q8"/>
      <c r="R8"/>
      <c r="S8" s="13"/>
      <c r="T8" s="13"/>
      <c r="U8" s="13"/>
      <c r="V8" s="13"/>
    </row>
    <row r="9" spans="1:22" s="3" customFormat="1" ht="13.5" customHeight="1">
      <c r="A9" s="836" t="s">
        <v>304</v>
      </c>
      <c r="B9" s="837"/>
      <c r="C9" s="837"/>
      <c r="D9" s="837"/>
      <c r="E9" s="896"/>
      <c r="F9" s="547"/>
      <c r="G9" s="895"/>
      <c r="H9" s="895"/>
      <c r="I9" s="13"/>
      <c r="J9" s="78"/>
      <c r="K9" s="78"/>
      <c r="L9" s="78"/>
      <c r="M9" s="78"/>
      <c r="N9" s="78"/>
      <c r="O9" s="78"/>
      <c r="P9"/>
      <c r="Q9"/>
      <c r="R9"/>
      <c r="S9" s="13"/>
      <c r="T9" s="13"/>
      <c r="U9" s="13"/>
      <c r="V9" s="13"/>
    </row>
    <row r="10" spans="1:22" s="3" customFormat="1" ht="10.5" customHeight="1">
      <c r="A10" s="185" t="str">
        <f>CONCATENATE("Sources : Insee, RP"," ",'Aides traitements'!I9,",  ", 'Aides traitements'!$I$10, " et  RP",'Aides traitements'!$I$11," exploitations principales et compléentaires")</f>
        <v>Sources : Insee, RP 2009,  2014 et  RP2020 exploitations principales et compléentaires</v>
      </c>
      <c r="B10" s="186"/>
      <c r="C10" s="186"/>
      <c r="D10" s="186"/>
      <c r="E10" s="186"/>
      <c r="F10" s="186"/>
      <c r="G10" s="186"/>
      <c r="H10" s="186"/>
      <c r="I10" s="13"/>
      <c r="J10" s="78"/>
      <c r="K10" s="78"/>
      <c r="L10" s="78"/>
      <c r="M10" s="78"/>
      <c r="N10" s="78"/>
      <c r="O10" s="78"/>
      <c r="P10"/>
      <c r="Q10"/>
      <c r="R10"/>
      <c r="S10" s="186"/>
      <c r="T10" s="186"/>
      <c r="U10" s="186"/>
      <c r="V10" s="186"/>
    </row>
    <row r="11" spans="1:22" s="3" customFormat="1" ht="14.25" customHeight="1">
      <c r="A11" s="13"/>
      <c r="B11" s="13"/>
      <c r="C11" s="13"/>
      <c r="D11" s="13"/>
      <c r="E11" s="13"/>
      <c r="F11" s="13"/>
      <c r="G11" s="13"/>
      <c r="H11" s="13"/>
      <c r="I11" s="13"/>
      <c r="J11" s="78"/>
      <c r="K11" s="78"/>
      <c r="L11" s="78"/>
      <c r="M11" s="78"/>
      <c r="N11" s="78"/>
      <c r="O11" s="78"/>
      <c r="P11"/>
      <c r="Q11"/>
      <c r="R11"/>
      <c r="S11" s="13"/>
      <c r="T11" s="13"/>
      <c r="U11" s="13"/>
      <c r="V11" s="13"/>
    </row>
    <row r="12" spans="1:22" s="3" customFormat="1" ht="15.6">
      <c r="A12" s="52" t="str">
        <f>CONCATENATE("Population des ménages depuis"," ",'Aides traitements'!I9)</f>
        <v>Population des ménages depuis 2009</v>
      </c>
      <c r="B12" s="891">
        <f>'Aides traitements'!$I$9</f>
        <v>2009</v>
      </c>
      <c r="C12" s="891">
        <f>'Aides traitements'!$I$10</f>
        <v>2014</v>
      </c>
      <c r="D12" s="891">
        <f>'Aides traitements'!$I$11</f>
        <v>2020</v>
      </c>
      <c r="E12" s="892"/>
      <c r="F12" s="893"/>
      <c r="G12" s="893"/>
      <c r="H12" s="893"/>
      <c r="I12" s="13"/>
      <c r="J12" s="78"/>
      <c r="K12" s="78"/>
      <c r="L12" s="78"/>
      <c r="M12" s="78"/>
      <c r="N12" s="78"/>
      <c r="O12" s="78"/>
      <c r="P12"/>
      <c r="Q12"/>
      <c r="R12"/>
      <c r="S12" s="13"/>
      <c r="T12" s="13"/>
      <c r="U12" s="13"/>
      <c r="V12" s="13"/>
    </row>
    <row r="13" spans="1:22" s="3" customFormat="1" ht="13.5" customHeight="1">
      <c r="A13" s="189" t="str">
        <f>INDEX('Aides traitements'!$A$5:$A$26,'Page de garde'!$C$4,1)</f>
        <v>Paul Bert</v>
      </c>
      <c r="B13" s="187">
        <f>VLOOKUP($A13,'Base de données'!$DT$9:$DW$91,2,FALSE)</f>
        <v>2416.7425069999999</v>
      </c>
      <c r="C13" s="187">
        <f>VLOOKUP($A13,'Base de données'!$DT$9:$DW$91,3,FALSE)</f>
        <v>2767.6360254058159</v>
      </c>
      <c r="D13" s="187">
        <f>VLOOKUP($A13,'Base de données'!$DT$9:$DW$91,4,FALSE)</f>
        <v>2902.72414377716</v>
      </c>
      <c r="E13" s="894"/>
      <c r="F13" s="895"/>
      <c r="G13" s="895"/>
      <c r="H13" s="895"/>
      <c r="I13" s="13"/>
      <c r="J13" s="78"/>
      <c r="K13" s="78"/>
      <c r="L13" s="78"/>
      <c r="M13" s="78"/>
      <c r="N13" s="78"/>
      <c r="O13" s="78"/>
      <c r="P13"/>
      <c r="Q13"/>
      <c r="R13"/>
      <c r="S13" s="228"/>
      <c r="T13" s="228"/>
      <c r="U13" s="228"/>
      <c r="V13" s="228"/>
    </row>
    <row r="14" spans="1:22" s="3" customFormat="1" ht="13.5" customHeight="1">
      <c r="A14" s="190" t="str">
        <f>VLOOKUP(A13,'Aides traitements'!$A$5:$B$26,2,FALSE)</f>
        <v>Tours nord</v>
      </c>
      <c r="B14" s="84">
        <f>VLOOKUP($A14,'Base de données'!$DT$9:$DW$91,2,FALSE)</f>
        <v>34535.091876999999</v>
      </c>
      <c r="C14" s="84">
        <f>VLOOKUP($A14,'Base de données'!$DT$9:$DW$91,3,FALSE)</f>
        <v>36276.421477577373</v>
      </c>
      <c r="D14" s="84">
        <f>VLOOKUP($A14,'Base de données'!$DT$9:$DW$91,4,FALSE)</f>
        <v>40100.563571018509</v>
      </c>
      <c r="E14" s="896"/>
      <c r="F14" s="547"/>
      <c r="G14" s="895"/>
      <c r="H14" s="895"/>
      <c r="I14" s="13"/>
      <c r="J14" s="78"/>
      <c r="K14" s="78"/>
      <c r="L14" s="78"/>
      <c r="M14" s="78"/>
      <c r="N14" s="78"/>
      <c r="O14" s="78"/>
      <c r="P14"/>
      <c r="Q14"/>
      <c r="R14"/>
      <c r="S14" s="229"/>
      <c r="T14" s="229"/>
      <c r="U14" s="229"/>
      <c r="V14" s="229"/>
    </row>
    <row r="15" spans="1:22" s="3" customFormat="1" ht="13.5" customHeight="1">
      <c r="A15" s="190" t="s">
        <v>0</v>
      </c>
      <c r="B15" s="84">
        <f>VLOOKUP($A15,'Base de données'!$DT$9:$DW$92,2,FALSE)</f>
        <v>130155.006179</v>
      </c>
      <c r="C15" s="84">
        <f>VLOOKUP($A15,'Base de données'!$DT$9:$DW$91,3,FALSE)</f>
        <v>131068.0039521099</v>
      </c>
      <c r="D15" s="84">
        <f>VLOOKUP($A15,'Base de données'!$DT$9:$DW$91,4,FALSE)</f>
        <v>133009.99508553653</v>
      </c>
      <c r="E15" s="896"/>
      <c r="F15" s="547"/>
      <c r="G15" s="895"/>
      <c r="H15" s="895"/>
      <c r="I15" s="13"/>
      <c r="J15" s="78"/>
      <c r="K15" s="78"/>
      <c r="L15" s="78"/>
      <c r="M15" s="78"/>
      <c r="N15" s="78"/>
      <c r="O15" s="78"/>
      <c r="P15"/>
      <c r="Q15"/>
      <c r="R15"/>
      <c r="S15" s="13"/>
      <c r="T15" s="13"/>
      <c r="U15" s="13"/>
      <c r="V15" s="13"/>
    </row>
    <row r="16" spans="1:22" s="3" customFormat="1" ht="13.5" customHeight="1">
      <c r="A16" s="836" t="s">
        <v>304</v>
      </c>
      <c r="B16" s="837"/>
      <c r="C16" s="837"/>
      <c r="D16" s="837"/>
      <c r="E16" s="896"/>
      <c r="F16" s="547"/>
      <c r="G16" s="895"/>
      <c r="H16" s="895"/>
      <c r="I16" s="13"/>
      <c r="J16" s="78"/>
      <c r="K16" s="78"/>
      <c r="L16" s="78"/>
      <c r="M16" s="78"/>
      <c r="N16" s="78"/>
      <c r="O16" s="78"/>
      <c r="P16"/>
      <c r="Q16"/>
      <c r="R16"/>
      <c r="S16" s="13"/>
      <c r="T16" s="13"/>
      <c r="U16" s="13"/>
      <c r="V16" s="13"/>
    </row>
    <row r="17" spans="1:22" s="3" customFormat="1" ht="10.5" customHeight="1">
      <c r="A17" s="185" t="str">
        <f>CONCATENATE("Sources : Insee, RP"," ",'Aides traitements'!I16,",  ", 'Aides traitements'!$I$10, " et  RP",'Aides traitements'!$I$11," exploitations principales et compléentaires")</f>
        <v>Sources : Insee, RP ,  2014 et  RP2020 exploitations principales et compléentaires</v>
      </c>
      <c r="B17" s="186"/>
      <c r="C17" s="186"/>
      <c r="D17" s="186"/>
      <c r="E17" s="186"/>
      <c r="F17" s="186"/>
      <c r="G17" s="186"/>
      <c r="H17" s="186"/>
      <c r="I17" s="13"/>
      <c r="J17" s="78"/>
      <c r="K17" s="78"/>
      <c r="L17" s="78"/>
      <c r="M17" s="78"/>
      <c r="N17" s="78"/>
      <c r="O17" s="78"/>
      <c r="P17"/>
      <c r="Q17"/>
      <c r="R17"/>
      <c r="S17" s="186"/>
      <c r="T17" s="186"/>
      <c r="U17" s="186"/>
      <c r="V17" s="186"/>
    </row>
    <row r="18" spans="1:22" s="3" customFormat="1" ht="14.25" customHeight="1">
      <c r="A18" s="13"/>
      <c r="B18" s="13"/>
      <c r="C18" s="13"/>
      <c r="D18" s="13"/>
      <c r="E18" s="13"/>
      <c r="F18" s="13"/>
      <c r="G18" s="13"/>
      <c r="H18" s="13"/>
      <c r="I18" s="13"/>
      <c r="J18" s="78"/>
      <c r="K18" s="78"/>
      <c r="L18" s="78"/>
      <c r="M18" s="78"/>
      <c r="N18" s="78"/>
      <c r="O18" s="78"/>
      <c r="P18"/>
      <c r="Q18"/>
      <c r="R18"/>
      <c r="S18" s="13"/>
      <c r="T18" s="13"/>
      <c r="U18" s="13"/>
      <c r="V18" s="13"/>
    </row>
    <row r="19" spans="1:22" s="3" customFormat="1" ht="25.95" customHeight="1">
      <c r="A19" s="52" t="str">
        <f>CONCATENATE("Taille moyenne des ménages depuis"," ",'Aides traitements'!I9)</f>
        <v>Taille moyenne des ménages depuis 2009</v>
      </c>
      <c r="B19" s="891">
        <f>'Aides traitements'!$I$9</f>
        <v>2009</v>
      </c>
      <c r="C19" s="891">
        <f>'Aides traitements'!$I$10</f>
        <v>2014</v>
      </c>
      <c r="D19" s="891">
        <f>'Aides traitements'!$I$11</f>
        <v>2020</v>
      </c>
      <c r="E19" s="892"/>
      <c r="F19" s="893"/>
      <c r="G19" s="893"/>
      <c r="H19" s="893"/>
      <c r="I19" s="13"/>
      <c r="J19" s="78"/>
      <c r="K19" s="78"/>
      <c r="L19" s="78"/>
      <c r="M19" s="78"/>
      <c r="N19" s="78"/>
      <c r="O19" s="78"/>
      <c r="P19"/>
      <c r="Q19"/>
      <c r="R19"/>
      <c r="S19" s="13"/>
      <c r="T19" s="13"/>
      <c r="U19" s="13"/>
      <c r="V19" s="13"/>
    </row>
    <row r="20" spans="1:22" s="3" customFormat="1" ht="13.5" customHeight="1">
      <c r="A20" s="189" t="str">
        <f>INDEX('Aides traitements'!$A$5:$A$26,'Page de garde'!$C$4,1)</f>
        <v>Paul Bert</v>
      </c>
      <c r="B20" s="292">
        <f t="shared" ref="B20:D22" si="0">B13/B6</f>
        <v>1.6240220966068979</v>
      </c>
      <c r="C20" s="292">
        <f t="shared" si="0"/>
        <v>1.747266333807846</v>
      </c>
      <c r="D20" s="292">
        <f t="shared" si="0"/>
        <v>1.696378668523248</v>
      </c>
      <c r="E20" s="897"/>
      <c r="F20" s="898"/>
      <c r="G20" s="898"/>
      <c r="H20" s="898"/>
      <c r="I20" s="13"/>
      <c r="J20" s="78"/>
      <c r="K20" s="78"/>
      <c r="L20" s="78"/>
      <c r="M20" s="78"/>
      <c r="N20" s="78"/>
      <c r="O20" s="78"/>
      <c r="P20"/>
      <c r="Q20"/>
      <c r="R20"/>
      <c r="S20" s="228"/>
      <c r="T20" s="228"/>
      <c r="U20" s="228"/>
      <c r="V20" s="228"/>
    </row>
    <row r="21" spans="1:22" s="3" customFormat="1" ht="13.5" customHeight="1">
      <c r="A21" s="190" t="str">
        <f>VLOOKUP(A20,'Aides traitements'!$A$5:$B$26,2,FALSE)</f>
        <v>Tours nord</v>
      </c>
      <c r="B21" s="293">
        <f t="shared" si="0"/>
        <v>1.9652123518507625</v>
      </c>
      <c r="C21" s="293">
        <f t="shared" si="0"/>
        <v>1.9347135580183585</v>
      </c>
      <c r="D21" s="293">
        <f t="shared" si="0"/>
        <v>1.8576548473565211</v>
      </c>
      <c r="E21" s="899"/>
      <c r="F21" s="554"/>
      <c r="G21" s="554"/>
      <c r="H21" s="554"/>
      <c r="I21" s="13"/>
      <c r="J21" s="78"/>
      <c r="K21" s="78"/>
      <c r="L21" s="78"/>
      <c r="M21" s="78"/>
      <c r="N21" s="78"/>
      <c r="O21" s="78"/>
      <c r="P21"/>
      <c r="Q21"/>
      <c r="R21"/>
      <c r="S21" s="229"/>
      <c r="T21" s="229"/>
      <c r="U21" s="229"/>
      <c r="V21" s="229"/>
    </row>
    <row r="22" spans="1:22" s="3" customFormat="1" ht="13.5" customHeight="1">
      <c r="A22" s="190" t="s">
        <v>0</v>
      </c>
      <c r="B22" s="293">
        <f t="shared" si="0"/>
        <v>1.7944938207903742</v>
      </c>
      <c r="C22" s="293">
        <f t="shared" si="0"/>
        <v>1.7922312115680759</v>
      </c>
      <c r="D22" s="293">
        <f t="shared" si="0"/>
        <v>1.7389280996396173</v>
      </c>
      <c r="E22" s="899"/>
      <c r="F22" s="554"/>
      <c r="G22" s="554"/>
      <c r="H22" s="554"/>
      <c r="I22" s="13"/>
      <c r="J22" s="78"/>
      <c r="K22" s="78"/>
      <c r="L22" s="78"/>
      <c r="M22" s="78"/>
      <c r="N22" s="78"/>
      <c r="O22" s="78"/>
      <c r="P22"/>
      <c r="Q22"/>
      <c r="R22"/>
      <c r="S22" s="13"/>
      <c r="T22" s="13"/>
      <c r="U22" s="13"/>
      <c r="V22" s="13"/>
    </row>
    <row r="23" spans="1:22" s="3" customFormat="1" ht="13.5" customHeight="1">
      <c r="A23" s="836" t="s">
        <v>304</v>
      </c>
      <c r="B23" s="900"/>
      <c r="C23" s="900"/>
      <c r="D23" s="900"/>
      <c r="E23" s="899"/>
      <c r="F23" s="554"/>
      <c r="G23" s="554"/>
      <c r="H23" s="554"/>
      <c r="I23" s="13"/>
      <c r="J23" s="78"/>
      <c r="K23" s="78"/>
      <c r="L23" s="78"/>
      <c r="M23" s="78"/>
      <c r="N23" s="78"/>
      <c r="O23" s="78"/>
      <c r="P23"/>
      <c r="Q23"/>
      <c r="R23"/>
      <c r="S23" s="13"/>
      <c r="T23" s="13"/>
      <c r="U23" s="13"/>
      <c r="V23" s="13"/>
    </row>
    <row r="24" spans="1:22" s="3" customFormat="1" ht="10.5" customHeight="1">
      <c r="A24" s="185" t="str">
        <f>CONCATENATE("Sources : Insee, RP"," ",'Aides traitements'!I23,",  ", 'Aides traitements'!$I$10, " et  RP",'Aides traitements'!$I$11," exploitations principales et compléentaires")</f>
        <v>Sources : Insee, RP ,  2014 et  RP2020 exploitations principales et compléentaires</v>
      </c>
      <c r="B24" s="186"/>
      <c r="C24" s="186"/>
      <c r="D24" s="186"/>
      <c r="E24" s="186"/>
      <c r="F24" s="186"/>
      <c r="G24" s="186"/>
      <c r="H24" s="186"/>
      <c r="I24" s="13"/>
      <c r="J24" s="78"/>
      <c r="K24" s="78"/>
      <c r="L24" s="78"/>
      <c r="M24" s="78"/>
      <c r="N24" s="78"/>
      <c r="O24" s="78"/>
      <c r="P24"/>
      <c r="Q24"/>
      <c r="R24"/>
      <c r="S24" s="186"/>
      <c r="T24" s="186"/>
      <c r="U24" s="186"/>
      <c r="V24" s="186"/>
    </row>
    <row r="25" spans="1:22" ht="17.399999999999999" customHeight="1">
      <c r="A25" s="57"/>
      <c r="B25" s="57"/>
      <c r="C25" s="57"/>
      <c r="D25" s="57"/>
      <c r="E25" s="57"/>
      <c r="F25" s="57"/>
      <c r="G25" s="57"/>
      <c r="H25" s="56"/>
      <c r="J25" s="78"/>
      <c r="K25" s="78"/>
      <c r="L25" s="78"/>
      <c r="M25" s="78"/>
      <c r="N25" s="78"/>
      <c r="O25" s="78"/>
      <c r="P25"/>
      <c r="Q25"/>
      <c r="R25"/>
    </row>
    <row r="26" spans="1:22" ht="14.25" customHeight="1">
      <c r="A26" s="1405" t="str">
        <f>CONCATENATE("Structure familiale des 
ménages en ",'Aides traitements'!$I$11)</f>
        <v>Structure familiale des 
ménages en 2020</v>
      </c>
      <c r="B26" s="1236" t="s">
        <v>86</v>
      </c>
      <c r="C26" s="1237"/>
      <c r="D26" s="1237"/>
      <c r="E26" s="1237"/>
      <c r="F26" s="1394"/>
      <c r="J26" s="78"/>
      <c r="K26" s="78"/>
      <c r="L26" s="78"/>
      <c r="M26" s="78"/>
      <c r="N26" s="78"/>
      <c r="O26" s="78"/>
      <c r="P26"/>
      <c r="Q26"/>
      <c r="R26"/>
    </row>
    <row r="27" spans="1:22" ht="33.6" customHeight="1">
      <c r="A27" s="1405"/>
      <c r="B27" s="876" t="s">
        <v>416</v>
      </c>
      <c r="C27" s="876" t="s">
        <v>417</v>
      </c>
      <c r="D27" s="901" t="s">
        <v>418</v>
      </c>
      <c r="E27" s="901" t="s">
        <v>419</v>
      </c>
      <c r="F27" s="902" t="s">
        <v>420</v>
      </c>
      <c r="J27" s="78"/>
      <c r="K27" s="78"/>
      <c r="L27" s="1416"/>
      <c r="M27" s="1416"/>
      <c r="N27" s="78"/>
      <c r="O27" s="78"/>
      <c r="P27"/>
      <c r="Q27"/>
      <c r="R27"/>
    </row>
    <row r="28" spans="1:22" ht="14.25" customHeight="1">
      <c r="A28" s="189" t="str">
        <f>INDEX('Aides traitements'!$A$5:$A$26,'Page de garde'!$C$4,1)</f>
        <v>Paul Bert</v>
      </c>
      <c r="B28" s="187">
        <f>VLOOKUP($A28,'Base de données'!$EE$9:$ET$91,12,FALSE)</f>
        <v>1020.30792425999</v>
      </c>
      <c r="C28" s="187">
        <f>VLOOKUP($A28,'Base de données'!$EE$9:$ET$91,13,FALSE)</f>
        <v>48.631870201422103</v>
      </c>
      <c r="D28" s="187">
        <f>VLOOKUP($A28,'Base de données'!$EE$9:$ET$91,14,FALSE)</f>
        <v>322.79514676588502</v>
      </c>
      <c r="E28" s="187">
        <f>VLOOKUP($A28,'Base de données'!$EE$9:$ET$91,15,FALSE)</f>
        <v>217.98948847659301</v>
      </c>
      <c r="F28" s="298">
        <f>VLOOKUP($A28,'Base de données'!$EE$9:$ET$91,16,FALSE)</f>
        <v>101.405400939453</v>
      </c>
      <c r="J28" s="78"/>
      <c r="K28" s="78"/>
      <c r="L28" s="1416"/>
      <c r="M28" s="1416"/>
      <c r="N28" s="78"/>
      <c r="O28" s="78"/>
      <c r="P28"/>
      <c r="Q28"/>
      <c r="R28"/>
    </row>
    <row r="29" spans="1:22" ht="14.25" customHeight="1">
      <c r="A29" s="190" t="str">
        <f>VLOOKUP(A28,'Aides traitements'!$A$5:$B$26,2,FALSE)</f>
        <v>Tours nord</v>
      </c>
      <c r="B29" s="84">
        <f>VLOOKUP($A29,'Base de données'!$EE$9:$ET$91,12,FALSE)</f>
        <v>10758.311779207806</v>
      </c>
      <c r="C29" s="84">
        <f>VLOOKUP($A29,'Base de données'!$EE$9:$ET$91,13,FALSE)</f>
        <v>378.86948792800109</v>
      </c>
      <c r="D29" s="84">
        <f>VLOOKUP($A29,'Base de données'!$EE$9:$ET$91,14,FALSE)</f>
        <v>4881.1009340023111</v>
      </c>
      <c r="E29" s="84">
        <f>VLOOKUP($A29,'Base de données'!$EE$9:$ET$91,15,FALSE)</f>
        <v>3481.8565094720975</v>
      </c>
      <c r="F29" s="109">
        <f>VLOOKUP($A29,'Base de données'!$EE$9:$ET$91,16,FALSE)</f>
        <v>2086.5212806590894</v>
      </c>
      <c r="J29" s="78"/>
      <c r="K29" s="78"/>
      <c r="L29" s="78"/>
      <c r="M29" s="78"/>
      <c r="N29" s="78"/>
      <c r="O29" s="78"/>
      <c r="P29"/>
      <c r="Q29"/>
      <c r="R29"/>
    </row>
    <row r="30" spans="1:22" ht="14.25" customHeight="1">
      <c r="A30" s="190" t="s">
        <v>0</v>
      </c>
      <c r="B30" s="84">
        <f>VLOOKUP($A30,'Base de données'!$EE$9:$ET$91,12,FALSE)</f>
        <v>43667.554718803352</v>
      </c>
      <c r="C30" s="84">
        <f>VLOOKUP($A30,'Base de données'!$EE$9:$ET$91,13,FALSE)</f>
        <v>2184.1026065923029</v>
      </c>
      <c r="D30" s="84">
        <f>VLOOKUP($A30,'Base de données'!$EE$9:$ET$91,14,FALSE)</f>
        <v>14148.573261937821</v>
      </c>
      <c r="E30" s="84">
        <f>VLOOKUP($A30,'Base de données'!$EE$9:$ET$91,15,FALSE)</f>
        <v>9845.1201021469478</v>
      </c>
      <c r="F30" s="109">
        <f>VLOOKUP($A30,'Base de données'!$EE$9:$ET$91,16,FALSE)</f>
        <v>6644.2954972147454</v>
      </c>
      <c r="J30" s="78"/>
      <c r="K30" s="78"/>
      <c r="L30" s="78"/>
      <c r="M30" s="78"/>
      <c r="N30" s="78"/>
      <c r="O30" s="78"/>
      <c r="P30"/>
      <c r="Q30"/>
      <c r="R30"/>
    </row>
    <row r="31" spans="1:22" ht="14.25" customHeight="1">
      <c r="A31" s="836" t="s">
        <v>304</v>
      </c>
      <c r="B31" s="837"/>
      <c r="C31" s="837"/>
      <c r="D31" s="837"/>
      <c r="E31" s="837"/>
      <c r="F31" s="903"/>
      <c r="H31" s="57"/>
      <c r="I31" s="57"/>
      <c r="J31" s="78"/>
      <c r="K31" s="78"/>
      <c r="L31" s="78"/>
      <c r="M31" s="78"/>
      <c r="N31" s="78"/>
      <c r="O31" s="78"/>
      <c r="P31"/>
      <c r="Q31"/>
      <c r="R31"/>
    </row>
    <row r="32" spans="1:22" ht="14.25" customHeight="1">
      <c r="A32" s="108" t="str">
        <f>IF(B28="s","s = secret statistique","")</f>
        <v/>
      </c>
      <c r="B32" s="72"/>
      <c r="C32" s="72"/>
      <c r="D32" s="72"/>
      <c r="E32" s="72"/>
      <c r="F32" s="72"/>
      <c r="H32" s="57"/>
      <c r="I32" s="57"/>
      <c r="J32" s="78"/>
      <c r="K32" s="78"/>
      <c r="L32" s="78"/>
      <c r="M32" s="78"/>
      <c r="N32" s="78"/>
      <c r="O32" s="78"/>
    </row>
    <row r="33" spans="1:15" ht="15.6">
      <c r="A33" s="122"/>
      <c r="B33" s="1417" t="s">
        <v>189</v>
      </c>
      <c r="C33" s="1418"/>
      <c r="D33" s="1418"/>
      <c r="E33" s="1418"/>
      <c r="F33" s="1419"/>
      <c r="J33" s="78"/>
      <c r="K33" s="78"/>
      <c r="L33" s="78"/>
      <c r="M33" s="78"/>
      <c r="N33" s="78"/>
      <c r="O33" s="78"/>
    </row>
    <row r="34" spans="1:15" ht="39.6">
      <c r="A34" s="300"/>
      <c r="B34" s="220" t="s">
        <v>416</v>
      </c>
      <c r="C34" s="220" t="s">
        <v>417</v>
      </c>
      <c r="D34" s="221" t="s">
        <v>418</v>
      </c>
      <c r="E34" s="221" t="s">
        <v>419</v>
      </c>
      <c r="F34" s="221" t="s">
        <v>420</v>
      </c>
      <c r="H34" s="60"/>
      <c r="I34" s="60"/>
      <c r="J34" s="78"/>
      <c r="K34" s="301" t="str">
        <f>CONCATENATE("Structure familiale des ménages en ",INDEX('Aides traitements'!$E$4:$E$5,'Page de garde'!$G$4,1)," et ",'Aides traitements'!$I$11,"                       ",A35)</f>
        <v>Structure familiale des ménages en 2009 et 2020                       Paul Bert</v>
      </c>
      <c r="L34" s="78"/>
      <c r="M34" s="78"/>
      <c r="N34" s="78"/>
      <c r="O34" s="78"/>
    </row>
    <row r="35" spans="1:15" ht="13.5" customHeight="1">
      <c r="A35" s="189" t="str">
        <f>INDEX('Aides traitements'!$A$5:$A$26,'Page de garde'!$C$4,1)</f>
        <v>Paul Bert</v>
      </c>
      <c r="B35" s="402">
        <f>VLOOKUP($A35,'Base de données'!$EE$97:$ET$97,12,FALSE)/(VLOOKUP($A35,'Base de données'!$EE$97:$ET$97,12,FALSE)+VLOOKUP($A35,'Base de données'!$EE$97:$ET$97,13,FALSE)+VLOOKUP($A35,'Base de données'!$EE$97:$ET$97,14,FALSE)+VLOOKUP($A35,'Base de données'!$EE$97:$ET$97,15,FALSE)+VLOOKUP($A35,'Base de données'!$EE$97:$ET$97,16,FALSE))</f>
        <v>0.59627732857440696</v>
      </c>
      <c r="C35" s="402">
        <f>VLOOKUP($A35,'Base de données'!$EE$97:$ET$97,13,FALSE)/(VLOOKUP($A35,'Base de données'!$EE$97:$ET$97,12,FALSE)+VLOOKUP($A35,'Base de données'!$EE$97:$ET$97,13,FALSE)+VLOOKUP($A35,'Base de données'!$EE$97:$ET$97,14,FALSE)+VLOOKUP($A35,'Base de données'!$EE$97:$ET$97,15,FALSE)+VLOOKUP($A35,'Base de données'!$EE$97:$ET$97,16,FALSE))</f>
        <v>2.8420911920597924E-2</v>
      </c>
      <c r="D35" s="402">
        <f>VLOOKUP($A35,'Base de données'!$EE$97:$ET$97,14,FALSE)/(VLOOKUP($A35,'Base de données'!$EE$97:$ET$97,12,FALSE)+VLOOKUP($A35,'Base de données'!$EE$97:$ET$97,13,FALSE)+VLOOKUP($A35,'Base de données'!$EE$97:$ET$97,14,FALSE)+VLOOKUP($A35,'Base de données'!$EE$97:$ET$97,15,FALSE)+VLOOKUP($A35,'Base de données'!$EE$97:$ET$97,16,FALSE))</f>
        <v>0.18864445057598106</v>
      </c>
      <c r="E35" s="402">
        <f>VLOOKUP($A35,'Base de données'!$EE$97:$ET$97,15,FALSE)/(VLOOKUP($A35,'Base de données'!$EE$97:$ET$97,12,FALSE)+VLOOKUP($A35,'Base de données'!$EE$97:$ET$97,13,FALSE)+VLOOKUP($A35,'Base de données'!$EE$97:$ET$97,14,FALSE)+VLOOKUP($A35,'Base de données'!$EE$97:$ET$97,15,FALSE)+VLOOKUP($A35,'Base de données'!$EE$97:$ET$97,16,FALSE))</f>
        <v>0.12739506060427586</v>
      </c>
      <c r="F35" s="402">
        <f>VLOOKUP($A35,'Base de données'!$EE$97:$ET$97,16,FALSE)/(VLOOKUP($A35,'Base de données'!$EE$97:$ET$97,12,FALSE)+VLOOKUP($A35,'Base de données'!$EE$97:$ET$97,13,FALSE)+VLOOKUP($A35,'Base de données'!$EE$97:$ET$97,14,FALSE)+VLOOKUP($A35,'Base de données'!$EE$97:$ET$97,15,FALSE)+VLOOKUP($A35,'Base de données'!$EE$97:$ET$97,16,FALSE))</f>
        <v>5.9262248324738184E-2</v>
      </c>
      <c r="I35" s="129"/>
      <c r="J35" s="78"/>
      <c r="K35" s="78"/>
      <c r="L35" s="78"/>
      <c r="M35" s="78"/>
      <c r="N35" s="78"/>
      <c r="O35" s="78"/>
    </row>
    <row r="36" spans="1:15" ht="13.5" customHeight="1">
      <c r="A36" s="190" t="str">
        <f>VLOOKUP(A35,'Aides traitements'!$A$5:$B$26,2,FALSE)</f>
        <v>Tours nord</v>
      </c>
      <c r="B36" s="123">
        <f>B29/SUM($B29:$F29)</f>
        <v>0.49837778440754571</v>
      </c>
      <c r="C36" s="123">
        <f>C29/SUM($B29:$F29)</f>
        <v>1.7551093503174384E-2</v>
      </c>
      <c r="D36" s="123">
        <f>D29/SUM($B29:$F29)</f>
        <v>0.2261165430861683</v>
      </c>
      <c r="E36" s="123">
        <f>E29/SUM($B29:$F29)</f>
        <v>0.16129667632141007</v>
      </c>
      <c r="F36" s="123">
        <f>F29/SUM($B29:$F29)</f>
        <v>9.6657902681701574E-2</v>
      </c>
      <c r="I36" s="59"/>
      <c r="J36" s="78"/>
      <c r="K36" s="78"/>
      <c r="L36" s="78"/>
      <c r="M36" s="78"/>
      <c r="N36" s="78"/>
      <c r="O36" s="78"/>
    </row>
    <row r="37" spans="1:15" ht="13.5" customHeight="1">
      <c r="A37" s="190" t="s">
        <v>0</v>
      </c>
      <c r="B37" s="123">
        <f t="shared" ref="B37:F37" si="1">B30/SUM($B30:$F30)</f>
        <v>0.57089497593203697</v>
      </c>
      <c r="C37" s="123">
        <f t="shared" si="1"/>
        <v>2.8554225512579405E-2</v>
      </c>
      <c r="D37" s="123">
        <f t="shared" si="1"/>
        <v>0.1849737051653256</v>
      </c>
      <c r="E37" s="123">
        <f t="shared" si="1"/>
        <v>0.12871180078565245</v>
      </c>
      <c r="F37" s="123">
        <f t="shared" si="1"/>
        <v>8.6865292604405772E-2</v>
      </c>
      <c r="I37" s="59"/>
      <c r="J37" s="78"/>
      <c r="K37" s="78"/>
      <c r="L37" s="78"/>
      <c r="M37" s="78"/>
      <c r="N37" s="78"/>
      <c r="O37" s="78"/>
    </row>
    <row r="38" spans="1:15" ht="13.5" customHeight="1">
      <c r="A38" s="836" t="s">
        <v>304</v>
      </c>
      <c r="B38" s="849"/>
      <c r="C38" s="849"/>
      <c r="D38" s="849"/>
      <c r="E38" s="849"/>
      <c r="F38" s="849"/>
      <c r="I38" s="59"/>
      <c r="J38" s="78"/>
      <c r="K38" s="78"/>
      <c r="L38" s="78"/>
      <c r="M38" s="78"/>
      <c r="N38" s="78"/>
      <c r="O38" s="78"/>
    </row>
    <row r="39" spans="1:15" s="66" customFormat="1" ht="15.6">
      <c r="A39" s="83" t="str">
        <f>CONCATENATE("Source : Insee, RP",'Aides traitements'!$I$11," exploitation principale et complémentaire")</f>
        <v>Source : Insee, RP2020 exploitation principale et complémentaire</v>
      </c>
      <c r="B39" s="61"/>
      <c r="C39" s="299"/>
      <c r="D39" s="62"/>
      <c r="E39" s="299"/>
      <c r="F39" s="299"/>
      <c r="G39" s="61"/>
      <c r="J39" s="78"/>
      <c r="K39" s="78"/>
      <c r="L39" s="78"/>
      <c r="M39" s="78"/>
      <c r="N39" s="78"/>
      <c r="O39" s="78"/>
    </row>
    <row r="40" spans="1:15" ht="15.6">
      <c r="J40" s="78"/>
      <c r="K40" s="78"/>
      <c r="L40" s="78"/>
      <c r="M40" s="78"/>
      <c r="N40" s="78"/>
      <c r="O40" s="78"/>
    </row>
    <row r="41" spans="1:15" ht="13.5" customHeight="1">
      <c r="A41" s="1405" t="str">
        <f>CONCATENATE("Âge des personnes vivant 
seules en ",'Aides traitements'!$I$11)</f>
        <v>Âge des personnes vivant 
seules en 2020</v>
      </c>
      <c r="B41" s="1417" t="s">
        <v>189</v>
      </c>
      <c r="C41" s="1418"/>
      <c r="D41" s="1418"/>
      <c r="E41" s="1419"/>
      <c r="F41" s="914"/>
      <c r="G41" s="905"/>
      <c r="J41" s="78"/>
      <c r="K41" s="78"/>
      <c r="L41" s="78"/>
      <c r="M41" s="78"/>
      <c r="N41" s="78"/>
      <c r="O41" s="78"/>
    </row>
    <row r="42" spans="1:15" ht="24" customHeight="1">
      <c r="A42" s="1405"/>
      <c r="B42" s="875" t="s">
        <v>626</v>
      </c>
      <c r="C42" s="875" t="s">
        <v>627</v>
      </c>
      <c r="D42" s="875" t="s">
        <v>628</v>
      </c>
      <c r="E42" s="875" t="s">
        <v>629</v>
      </c>
      <c r="F42" s="915"/>
      <c r="G42" s="916"/>
      <c r="J42" s="78"/>
      <c r="K42" s="78"/>
      <c r="L42" s="78"/>
      <c r="M42" s="78"/>
      <c r="N42" s="78"/>
      <c r="O42" s="78"/>
    </row>
    <row r="43" spans="1:15" ht="13.5" customHeight="1">
      <c r="A43" s="189" t="str">
        <f>INDEX('Aides traitements'!$A$5:$A$26,'Page de garde'!$C$4,1)</f>
        <v>Paul Bert</v>
      </c>
      <c r="B43" s="913">
        <f>VLOOKUP($A43,'Base de données'!$EV$66:$FT$91,18,FALSE)/VLOOKUP($A43,'Base de données'!$EV$66:$FT$91,22,FALSE)</f>
        <v>0.38958819866560074</v>
      </c>
      <c r="C43" s="913">
        <f>VLOOKUP($A43,'Base de données'!$EV$66:$FT$91,19,FALSE)/VLOOKUP($A43,'Base de données'!$EV$66:$FT$91,23,FALSE)</f>
        <v>0.37218100013578514</v>
      </c>
      <c r="D43" s="913">
        <f>VLOOKUP($A43,'Base de données'!$EV$66:$FT$91,20,FALSE)/VLOOKUP($A43,'Base de données'!$EV$66:$FT$91,24,FALSE)</f>
        <v>0.40848553935496851</v>
      </c>
      <c r="E43" s="913">
        <f>VLOOKUP($A43,'Base de données'!$EV$66:$FT$91,21,FALSE)/VLOOKUP($A43,'Base de données'!$EV$66:$FT$91,25,FALSE)</f>
        <v>0.56030807753461764</v>
      </c>
      <c r="F43" s="917"/>
      <c r="G43" s="918"/>
      <c r="J43" s="78"/>
      <c r="K43" s="78"/>
      <c r="L43" s="78"/>
      <c r="M43" s="78"/>
      <c r="N43" s="78"/>
      <c r="O43" s="78"/>
    </row>
    <row r="44" spans="1:15" ht="13.5" customHeight="1">
      <c r="A44" s="190" t="str">
        <f>VLOOKUP(A43,'Aides traitements'!$A$5:$B$26,2,FALSE)</f>
        <v>Tours nord</v>
      </c>
      <c r="B44" s="921">
        <f>VLOOKUP($A44,'Base de données'!$EV$66:$FT$91,18,FALSE)/VLOOKUP($A44,'Base de données'!$EV$66:$FT$91,22,FALSE)</f>
        <v>0.25929213935733841</v>
      </c>
      <c r="C44" s="921">
        <f>VLOOKUP($A44,'Base de données'!$EV$66:$FT$91,19,FALSE)/VLOOKUP($A44,'Base de données'!$EV$66:$FT$91,23,FALSE)</f>
        <v>0.2674940271934978</v>
      </c>
      <c r="D44" s="921">
        <f>VLOOKUP($A44,'Base de données'!$EV$66:$FT$91,20,FALSE)/VLOOKUP($A44,'Base de données'!$EV$66:$FT$91,24,FALSE)</f>
        <v>0.36551947901574283</v>
      </c>
      <c r="E44" s="921">
        <f>VLOOKUP($A44,'Base de données'!$EV$66:$FT$91,21,FALSE)/VLOOKUP($A44,'Base de données'!$EV$66:$FT$91,25,FALSE)</f>
        <v>0.53589677601636831</v>
      </c>
      <c r="F44" s="919"/>
      <c r="G44" s="920"/>
      <c r="J44" s="78"/>
      <c r="K44" s="78"/>
      <c r="L44" s="78"/>
      <c r="M44" s="78"/>
      <c r="N44" s="78"/>
      <c r="O44" s="78"/>
    </row>
    <row r="45" spans="1:15" s="61" customFormat="1" ht="14.4" customHeight="1">
      <c r="A45" s="190" t="s">
        <v>0</v>
      </c>
      <c r="B45" s="921">
        <f>VLOOKUP($A45,'Base de données'!$EV$66:$FT$91,18,FALSE)/VLOOKUP($A45,'Base de données'!$EV$66:$FT$91,22,FALSE)</f>
        <v>0.43951297506897047</v>
      </c>
      <c r="C45" s="921">
        <f>VLOOKUP($A45,'Base de données'!$EV$66:$FT$91,19,FALSE)/VLOOKUP($A45,'Base de données'!$EV$66:$FT$91,23,FALSE)</f>
        <v>0.31193528390375524</v>
      </c>
      <c r="D45" s="921">
        <f>VLOOKUP($A45,'Base de données'!$EV$66:$FT$91,20,FALSE)/VLOOKUP($A45,'Base de données'!$EV$66:$FT$91,24,FALSE)</f>
        <v>0.40719575810871156</v>
      </c>
      <c r="E45" s="921">
        <f>VLOOKUP($A45,'Base de données'!$EV$66:$FT$91,21,FALSE)/VLOOKUP($A45,'Base de données'!$EV$66:$FT$91,25,FALSE)</f>
        <v>0.56762116108831195</v>
      </c>
      <c r="F45" s="919"/>
      <c r="G45" s="920"/>
      <c r="J45" s="78"/>
      <c r="K45" s="78"/>
      <c r="L45" s="78"/>
      <c r="M45" s="78"/>
      <c r="N45" s="78"/>
      <c r="O45" s="78"/>
    </row>
    <row r="46" spans="1:15" s="61" customFormat="1" ht="14.25" customHeight="1">
      <c r="A46" s="836" t="s">
        <v>304</v>
      </c>
      <c r="B46" s="871"/>
      <c r="C46" s="871"/>
      <c r="D46" s="871"/>
      <c r="E46" s="871"/>
      <c r="F46" s="919"/>
      <c r="G46" s="920"/>
      <c r="H46" s="55"/>
      <c r="I46" s="55"/>
      <c r="J46" s="78"/>
      <c r="K46" s="78"/>
      <c r="L46" s="78"/>
      <c r="M46" s="78"/>
      <c r="N46" s="78"/>
      <c r="O46" s="78"/>
    </row>
    <row r="47" spans="1:15" s="61" customFormat="1" ht="14.25" customHeight="1">
      <c r="A47" s="83" t="str">
        <f>CONCATENATE("Source : Insee, RP",'Aides traitements'!$I$11," exploitation principale et complémentaire         Champ statistique : Population des ménages")</f>
        <v>Source : Insee, RP2020 exploitation principale et complémentaire         Champ statistique : Population des ménages</v>
      </c>
      <c r="B47" s="303"/>
      <c r="C47" s="303"/>
      <c r="D47" s="303"/>
      <c r="E47" s="303"/>
      <c r="F47" s="303"/>
      <c r="G47" s="55"/>
      <c r="H47" s="55"/>
      <c r="I47" s="55"/>
      <c r="J47" s="78"/>
      <c r="K47" s="78"/>
      <c r="L47" s="78"/>
      <c r="M47" s="78"/>
      <c r="N47" s="78"/>
      <c r="O47" s="78"/>
    </row>
    <row r="48" spans="1:15" ht="15.6">
      <c r="A48" s="1229" t="s">
        <v>717</v>
      </c>
      <c r="B48" s="65"/>
      <c r="C48" s="65"/>
      <c r="H48" s="905"/>
      <c r="J48" s="78"/>
      <c r="K48" s="78"/>
      <c r="L48" s="78"/>
      <c r="M48" s="78"/>
      <c r="N48" s="78"/>
      <c r="O48" s="78"/>
    </row>
    <row r="49" spans="1:15" ht="25.5" customHeight="1">
      <c r="H49" s="906"/>
      <c r="J49" s="78"/>
      <c r="K49" s="301" t="str">
        <f>CONCATENATE("Âge des personnes vivant seules en 
",INDEX('Aides traitements'!$E$4:$E$5,'Page de garde'!$G$4,1)," et ",'Aides traitements'!$I$11," ",A35)</f>
        <v>Âge des personnes vivant seules en 
2009 et 2020 Paul Bert</v>
      </c>
      <c r="L49" s="78"/>
      <c r="M49" s="78"/>
      <c r="N49" s="78"/>
      <c r="O49" s="78"/>
    </row>
    <row r="50" spans="1:15" ht="13.5" customHeight="1">
      <c r="A50" s="64"/>
      <c r="B50" s="64"/>
      <c r="C50" s="64"/>
      <c r="D50" s="64"/>
      <c r="E50" s="64"/>
      <c r="F50" s="64"/>
      <c r="H50" s="907"/>
      <c r="J50" s="78"/>
      <c r="K50" s="78"/>
      <c r="L50" s="78"/>
      <c r="M50" s="78"/>
      <c r="N50" s="78"/>
      <c r="O50" s="78"/>
    </row>
    <row r="51" spans="1:15" s="63" customFormat="1" ht="13.5" customHeight="1">
      <c r="A51" s="76" t="s">
        <v>194</v>
      </c>
      <c r="B51" s="80"/>
      <c r="C51" s="80"/>
      <c r="D51" s="80"/>
      <c r="E51" s="80"/>
      <c r="F51" s="80"/>
      <c r="G51" s="80"/>
      <c r="H51" s="80"/>
      <c r="I51" s="80"/>
      <c r="J51" s="78"/>
      <c r="K51" s="78"/>
      <c r="L51" s="78"/>
      <c r="M51" s="78"/>
      <c r="N51" s="78"/>
      <c r="O51" s="78"/>
    </row>
    <row r="52" spans="1:15" ht="13.5" customHeight="1">
      <c r="H52" s="406"/>
      <c r="I52" s="302"/>
      <c r="J52" s="78"/>
      <c r="K52" s="78"/>
      <c r="L52" s="78"/>
      <c r="M52" s="78"/>
      <c r="N52" s="78"/>
      <c r="O52" s="78"/>
    </row>
    <row r="53" spans="1:15" ht="13.5" customHeight="1">
      <c r="A53" s="1406" t="str">
        <f>CONCATENATE("Familles selon le nombre 
d'enfants âgés de moins 
de 25 ans en ",'Aides traitements'!$I$11)</f>
        <v>Familles selon le nombre 
d'enfants âgés de moins 
de 25 ans en 2020</v>
      </c>
      <c r="B53" s="1407" t="s">
        <v>86</v>
      </c>
      <c r="C53" s="1407"/>
      <c r="D53" s="1407"/>
      <c r="E53" s="1407"/>
      <c r="F53" s="1417" t="s">
        <v>189</v>
      </c>
      <c r="G53" s="1418"/>
      <c r="H53" s="1418"/>
      <c r="I53" s="1419"/>
      <c r="J53" s="78"/>
      <c r="K53" s="78"/>
      <c r="L53" s="78"/>
      <c r="M53" s="78"/>
      <c r="N53" s="78"/>
      <c r="O53" s="78"/>
    </row>
    <row r="54" spans="1:15" ht="25.95" customHeight="1">
      <c r="A54" s="1405"/>
      <c r="B54" s="878" t="s">
        <v>235</v>
      </c>
      <c r="C54" s="878" t="s">
        <v>57</v>
      </c>
      <c r="D54" s="878" t="s">
        <v>58</v>
      </c>
      <c r="E54" s="878" t="s">
        <v>234</v>
      </c>
      <c r="F54" s="877" t="s">
        <v>235</v>
      </c>
      <c r="G54" s="877" t="s">
        <v>57</v>
      </c>
      <c r="H54" s="877" t="s">
        <v>58</v>
      </c>
      <c r="I54" s="877" t="s">
        <v>59</v>
      </c>
      <c r="J54" s="78"/>
      <c r="K54" s="78"/>
      <c r="L54" s="78"/>
      <c r="M54" s="78"/>
      <c r="N54" s="78"/>
      <c r="O54" s="78"/>
    </row>
    <row r="55" spans="1:15" ht="15" customHeight="1">
      <c r="A55" s="189" t="str">
        <f>INDEX('Aides traitements'!$A$5:$A$26,'Page de garde'!$C$4,1)</f>
        <v>Paul Bert</v>
      </c>
      <c r="B55" s="931">
        <f>VLOOKUP($A55,'Base de données'!$FV$66:$GH$91,10,FALSE)</f>
        <v>349.33451067803998</v>
      </c>
      <c r="C55" s="931">
        <f>VLOOKUP($A55,'Base de données'!$FV$66:$GH$91,11,FALSE)</f>
        <v>138.092795256568</v>
      </c>
      <c r="D55" s="931">
        <f>VLOOKUP($A55,'Base de données'!$FV$66:$GH$91,12,FALSE)</f>
        <v>127.227666237233</v>
      </c>
      <c r="E55" s="932">
        <f>VLOOKUP($A55,'Base de données'!$FV$66:$GH$91,13,FALSE)</f>
        <v>30.877291908226901</v>
      </c>
      <c r="F55" s="215">
        <f>VLOOKUP($A55,'Base de données'!$FV$66:$GH$91,10,FALSE)/(VLOOKUP($A55,'Base de données'!$FV$66:$GH$91,10,FALSE)+VLOOKUP($A55,'Base de données'!$FV$66:$GH$91,11,FALSE)+VLOOKUP($A55,'Base de données'!$FV$66:$GH$91,12,FALSE)+VLOOKUP($A55,'Base de données'!$FV$66:$GH$91,13,FALSE))</f>
        <v>0.54115732104555303</v>
      </c>
      <c r="G55" s="215">
        <f>VLOOKUP($A55,'Base de données'!$FV$9:$GH$92,11,FALSE)/(VLOOKUP($A55,'Base de données'!$FV$9:$GH$92,10,FALSE)+VLOOKUP($A55,'Base de données'!$FV$9:$GH$92,11,FALSE)+VLOOKUP($A55,'Base de données'!$FV$9:$GH$92,12,FALSE)+VLOOKUP($A55,'Base de données'!$FV$9:$GH$92,13,FALSE))</f>
        <v>0.21392082617800778</v>
      </c>
      <c r="H55" s="215">
        <f>VLOOKUP($A55,'Base de données'!$FV$9:$GH$92,12,FALSE)/(VLOOKUP($A55,'Base de données'!$FV$9:$GH$92,10,FALSE)+VLOOKUP($A55,'Base de données'!$FV$9:$GH$92,11,FALSE)+VLOOKUP($A55,'Base de données'!$FV$9:$GH$92,12,FALSE)+VLOOKUP($A55,'Base de données'!$FV$9:$GH$92,13,FALSE))</f>
        <v>0.19708955433628408</v>
      </c>
      <c r="I55" s="215">
        <f>VLOOKUP($A55,'Base de données'!$FV$9:$GH$92,13,FALSE)/(VLOOKUP($A55,'Base de données'!$FV$9:$GH$92,10,FALSE)+VLOOKUP($A55,'Base de données'!$FV$9:$GH$92,11,FALSE)+VLOOKUP($A55,'Base de données'!$FV$9:$GH$92,12,FALSE)+VLOOKUP($A55,'Base de données'!$FV$9:$GH$92,13,FALSE))</f>
        <v>4.7832298440155234E-2</v>
      </c>
      <c r="J55" s="78"/>
      <c r="K55" s="78"/>
      <c r="L55" s="78"/>
      <c r="M55" s="78"/>
      <c r="N55" s="78"/>
      <c r="O55" s="78"/>
    </row>
    <row r="56" spans="1:15" ht="13.5" customHeight="1">
      <c r="A56" s="190" t="str">
        <f>VLOOKUP(A55,'Aides traitements'!$A$5:$B$26,2,FALSE)</f>
        <v>Tours nord</v>
      </c>
      <c r="B56" s="933">
        <f>VLOOKUP($A56,'Base de données'!$FV$66:$GH$91,10,FALSE)</f>
        <v>5420.1854317356983</v>
      </c>
      <c r="C56" s="933">
        <f>VLOOKUP($A56,'Base de données'!$FV$66:$GH$91,11,FALSE)</f>
        <v>2472.6335019558219</v>
      </c>
      <c r="D56" s="933">
        <f>VLOOKUP($A56,'Base de données'!$FV$66:$GH$91,12,FALSE)</f>
        <v>1822.7433983796504</v>
      </c>
      <c r="E56" s="933">
        <f>VLOOKUP($A56,'Base de données'!$FV$66:$GH$91,13,FALSE)</f>
        <v>762.59573488486649</v>
      </c>
      <c r="F56" s="219">
        <f>VLOOKUP($A56,'Base de données'!$FV$66:$GH$91,10,FALSE)/(VLOOKUP($A56,'Base de données'!$FV$66:$GH$91,10,FALSE)+VLOOKUP($A56,'Base de données'!$FV$66:$GH$91,11,FALSE)+VLOOKUP($A56,'Base de données'!$FV$66:$GH$91,12,FALSE)+VLOOKUP($A56,'Base de données'!$FV$66:$GH$91,13,FALSE))</f>
        <v>0.51728418268749143</v>
      </c>
      <c r="G56" s="219">
        <f>VLOOKUP($A56,'Base de données'!$FV$9:$GH$92,11,FALSE)/(VLOOKUP($A56,'Base de données'!$FV$9:$GH$92,10,FALSE)+VLOOKUP($A56,'Base de données'!$FV$9:$GH$92,11,FALSE)+VLOOKUP($A56,'Base de données'!$FV$9:$GH$92,12,FALSE)+VLOOKUP($A56,'Base de données'!$FV$9:$GH$92,13,FALSE))</f>
        <v>0.23597978634751934</v>
      </c>
      <c r="H56" s="219">
        <f>VLOOKUP($A56,'Base de données'!$FV$9:$GH$92,12,FALSE)/(VLOOKUP($A56,'Base de données'!$FV$9:$GH$92,10,FALSE)+VLOOKUP($A56,'Base de données'!$FV$9:$GH$92,11,FALSE)+VLOOKUP($A56,'Base de données'!$FV$9:$GH$92,12,FALSE)+VLOOKUP($A56,'Base de données'!$FV$9:$GH$92,13,FALSE))</f>
        <v>0.17395647085415342</v>
      </c>
      <c r="I56" s="219">
        <f>VLOOKUP($A56,'Base de données'!$FV$9:$GH$92,13,FALSE)/(VLOOKUP($A56,'Base de données'!$FV$9:$GH$92,10,FALSE)+VLOOKUP($A56,'Base de données'!$FV$9:$GH$92,11,FALSE)+VLOOKUP($A56,'Base de données'!$FV$9:$GH$92,12,FALSE)+VLOOKUP($A56,'Base de données'!$FV$9:$GH$92,13,FALSE))</f>
        <v>7.2779560110835848E-2</v>
      </c>
      <c r="J56" s="78"/>
      <c r="K56" s="78"/>
      <c r="L56" s="78"/>
      <c r="M56" s="78"/>
      <c r="N56" s="78"/>
      <c r="O56" s="78"/>
    </row>
    <row r="57" spans="1:15" ht="13.5" customHeight="1">
      <c r="A57" s="190" t="s">
        <v>0</v>
      </c>
      <c r="B57" s="933">
        <f>VLOOKUP($A57,'Base de données'!$FV$66:$GH$91,10,FALSE)</f>
        <v>15608.742700948682</v>
      </c>
      <c r="C57" s="933">
        <f>VLOOKUP($A57,'Base de données'!$FV$66:$GH$91,11,FALSE)</f>
        <v>7071.1578224999294</v>
      </c>
      <c r="D57" s="933">
        <f>VLOOKUP($A57,'Base de données'!$FV$66:$GH$91,12,FALSE)</f>
        <v>5339.494250984485</v>
      </c>
      <c r="E57" s="933">
        <f>VLOOKUP($A57,'Base de données'!$FV$66:$GH$91,13,FALSE)</f>
        <v>2710.0891836473802</v>
      </c>
      <c r="F57" s="219">
        <f>VLOOKUP($A57,'Base de données'!$FV$66:$GH$91,10,FALSE)/(VLOOKUP($A57,'Base de données'!$FV$66:$GH$91,10,FALSE)+VLOOKUP($A57,'Base de données'!$FV$66:$GH$91,11,FALSE)+VLOOKUP($A57,'Base de données'!$FV$66:$GH$91,12,FALSE)+VLOOKUP($A57,'Base de données'!$FV$66:$GH$91,13,FALSE))</f>
        <v>0.50794028048896933</v>
      </c>
      <c r="G57" s="219">
        <f>VLOOKUP($A57,'Base de données'!$FV$9:$GH$92,11,FALSE)/(VLOOKUP($A57,'Base de données'!$FV$9:$GH$92,10,FALSE)+VLOOKUP($A57,'Base de données'!$FV$9:$GH$92,11,FALSE)+VLOOKUP($A57,'Base de données'!$FV$9:$GH$92,12,FALSE)+VLOOKUP($A57,'Base de données'!$FV$9:$GH$92,13,FALSE))</f>
        <v>0.23010987858260248</v>
      </c>
      <c r="H57" s="219">
        <f>VLOOKUP($A57,'Base de données'!$FV$9:$GH$92,12,FALSE)/(VLOOKUP($A57,'Base de données'!$FV$9:$GH$92,10,FALSE)+VLOOKUP($A57,'Base de données'!$FV$9:$GH$92,11,FALSE)+VLOOKUP($A57,'Base de données'!$FV$9:$GH$92,12,FALSE)+VLOOKUP($A57,'Base de données'!$FV$9:$GH$92,13,FALSE))</f>
        <v>0.17375801878965291</v>
      </c>
      <c r="I57" s="219">
        <f>VLOOKUP($A57,'Base de données'!$FV$9:$GH$92,13,FALSE)/(VLOOKUP($A57,'Base de données'!$FV$9:$GH$92,10,FALSE)+VLOOKUP($A57,'Base de données'!$FV$9:$GH$92,11,FALSE)+VLOOKUP($A57,'Base de données'!$FV$9:$GH$92,12,FALSE)+VLOOKUP($A57,'Base de données'!$FV$9:$GH$92,13,FALSE))</f>
        <v>8.819182213877523E-2</v>
      </c>
      <c r="J57" s="78"/>
      <c r="K57" s="78"/>
      <c r="L57" s="78"/>
      <c r="M57" s="78"/>
      <c r="N57" s="78"/>
      <c r="O57" s="78"/>
    </row>
    <row r="58" spans="1:15" ht="15" customHeight="1">
      <c r="A58" s="836" t="s">
        <v>304</v>
      </c>
      <c r="B58" s="922"/>
      <c r="C58" s="922"/>
      <c r="D58" s="922"/>
      <c r="E58" s="922"/>
      <c r="F58" s="923"/>
      <c r="G58" s="923"/>
      <c r="H58" s="923"/>
      <c r="I58" s="923"/>
      <c r="J58" s="81"/>
      <c r="K58" s="81"/>
      <c r="L58" s="81"/>
      <c r="M58" s="81"/>
      <c r="N58" s="81"/>
      <c r="O58" s="81"/>
    </row>
    <row r="59" spans="1:15" ht="13.5" customHeight="1">
      <c r="A59" s="83" t="str">
        <f>CONCATENATE("Source : Insee, RP",'Aides traitements'!$I$11," exploitation principale et complémentaire")</f>
        <v>Source : Insee, RP2020 exploitation principale et complémentaire</v>
      </c>
      <c r="B59" s="72"/>
      <c r="C59" s="72"/>
      <c r="D59" s="72"/>
      <c r="E59" s="72"/>
      <c r="F59" s="306"/>
      <c r="G59" s="306"/>
      <c r="J59" s="79"/>
      <c r="K59" s="79"/>
      <c r="L59" s="79"/>
      <c r="M59" s="79"/>
      <c r="N59" s="79"/>
      <c r="O59" s="79"/>
    </row>
    <row r="60" spans="1:15">
      <c r="A60" s="83"/>
      <c r="B60" s="72"/>
      <c r="C60" s="72"/>
      <c r="D60" s="72"/>
      <c r="E60" s="72"/>
      <c r="F60" s="306"/>
      <c r="G60" s="306"/>
      <c r="H60" s="905"/>
      <c r="I60" s="905"/>
      <c r="J60" s="79"/>
      <c r="K60" s="79"/>
      <c r="L60" s="79"/>
      <c r="M60" s="79"/>
      <c r="N60" s="79"/>
      <c r="O60" s="79"/>
    </row>
    <row r="61" spans="1:15" ht="25.5" customHeight="1">
      <c r="A61" s="83"/>
      <c r="B61" s="72"/>
      <c r="C61" s="72"/>
      <c r="D61" s="72"/>
      <c r="E61" s="72"/>
      <c r="F61" s="306"/>
      <c r="G61" s="306"/>
      <c r="H61" s="906"/>
      <c r="I61" s="906"/>
      <c r="J61" s="79"/>
      <c r="K61" s="1223" t="str">
        <f>CONCATENATE("Familles selon le nombre d'enfants 
âgés de moins de 25 ans en ",INDEX('Aides traitements'!$E$4:$E$5,'Page de garde'!$G$4,1)," et ",'Aides traitements'!$I$11," ",A35)</f>
        <v>Familles selon le nombre d'enfants 
âgés de moins de 25 ans en 2009 et 2020 Paul Bert</v>
      </c>
      <c r="L61" s="79"/>
      <c r="M61" s="79"/>
      <c r="N61" s="79"/>
      <c r="O61" s="79"/>
    </row>
    <row r="62" spans="1:15" ht="13.5" customHeight="1">
      <c r="H62" s="909"/>
      <c r="I62" s="909"/>
      <c r="J62" s="79"/>
      <c r="K62" s="79"/>
      <c r="L62" s="79"/>
      <c r="M62" s="79"/>
      <c r="N62" s="79"/>
      <c r="O62" s="79"/>
    </row>
    <row r="63" spans="1:15" ht="13.5" customHeight="1">
      <c r="H63" s="908"/>
      <c r="I63" s="908"/>
      <c r="J63" s="79"/>
      <c r="K63" s="79"/>
      <c r="L63" s="79"/>
      <c r="M63" s="79"/>
      <c r="N63" s="79"/>
      <c r="O63" s="79"/>
    </row>
    <row r="64" spans="1:15" ht="13.5" customHeight="1">
      <c r="H64" s="908"/>
      <c r="I64" s="908"/>
      <c r="J64" s="79"/>
      <c r="K64" s="79"/>
      <c r="L64" s="79"/>
      <c r="M64" s="79"/>
      <c r="N64" s="79"/>
      <c r="O64" s="79"/>
    </row>
    <row r="65" spans="8:15" ht="13.5" customHeight="1">
      <c r="H65" s="908"/>
      <c r="I65" s="908"/>
      <c r="J65" s="79"/>
      <c r="K65" s="79"/>
      <c r="L65" s="79"/>
      <c r="M65" s="79"/>
      <c r="N65" s="79"/>
      <c r="O65" s="79"/>
    </row>
    <row r="66" spans="8:15" ht="10.5" customHeight="1">
      <c r="H66" s="306"/>
      <c r="I66" s="306"/>
      <c r="J66" s="79"/>
      <c r="K66" s="79"/>
      <c r="L66" s="79"/>
      <c r="M66" s="79"/>
      <c r="N66" s="79"/>
      <c r="O66" s="79"/>
    </row>
    <row r="67" spans="8:15" ht="13.5" customHeight="1">
      <c r="H67" s="306"/>
      <c r="I67" s="306"/>
      <c r="J67" s="79"/>
      <c r="K67" s="79"/>
      <c r="L67" s="79"/>
      <c r="M67" s="79"/>
      <c r="N67" s="79"/>
      <c r="O67" s="79"/>
    </row>
    <row r="68" spans="8:15" ht="13.5" customHeight="1">
      <c r="H68" s="306"/>
      <c r="I68" s="306"/>
      <c r="J68" s="79"/>
      <c r="K68" s="79"/>
      <c r="L68" s="79"/>
      <c r="M68" s="79"/>
      <c r="N68" s="79"/>
      <c r="O68" s="79"/>
    </row>
  </sheetData>
  <sheetProtection algorithmName="SHA-512" hashValue="kZZF4ouppX68XH0q7dQyJLiIuhCD2jkheeMil5C4nC+oQ04tMhoGRJNbHFkAxz0RmH7cS4hdLl+6DAnnInAM5Q==" saltValue="e+4n8PZlD8NNWWJjizJ5+g==" spinCount="100000" sheet="1" objects="1" scenarios="1"/>
  <mergeCells count="9">
    <mergeCell ref="B26:F26"/>
    <mergeCell ref="B53:E53"/>
    <mergeCell ref="A41:A42"/>
    <mergeCell ref="A26:A27"/>
    <mergeCell ref="L27:M28"/>
    <mergeCell ref="B41:E41"/>
    <mergeCell ref="F53:I53"/>
    <mergeCell ref="A53:A54"/>
    <mergeCell ref="B33:F33"/>
  </mergeCells>
  <printOptions horizontalCentered="1"/>
  <pageMargins left="0.23622047244094491" right="0.19685039370078741" top="0.31496062992125984" bottom="0.31496062992125984" header="0.23622047244094491" footer="0.19685039370078741"/>
  <pageSetup paperSize="8" scale="95" orientation="portrait" r:id="rId1"/>
  <headerFooter scaleWithDoc="0">
    <oddFooter>&amp;LDGPU Ville de Tours&amp;CPage &amp;P&amp;RPortrait_Tours_RP2020.xlsx</oddFooter>
  </headerFooter>
  <drawing r:id="rId2"/>
  <webPublishItems count="1">
    <webPublishItem id="14581" divId="Comparaison communes-périmètres multi thèmes_14581" sourceType="sheet" destinationFile="C:\Documents and Settings\maricher\Bureau\Recensement_2006_Version_Web\b.htm"/>
  </webPublishItem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rgb="FF67A6A5"/>
    <pageSetUpPr fitToPage="1"/>
  </sheetPr>
  <dimension ref="A1:O141"/>
  <sheetViews>
    <sheetView showGridLines="0" zoomScale="120" zoomScaleNormal="120" zoomScaleSheetLayoutView="115" zoomScalePageLayoutView="115" workbookViewId="0">
      <selection activeCell="L2" sqref="L2"/>
    </sheetView>
  </sheetViews>
  <sheetFormatPr baseColWidth="10" defaultColWidth="11.33203125" defaultRowHeight="13.2"/>
  <cols>
    <col min="1" max="1" width="23.6640625" style="1" customWidth="1"/>
    <col min="2" max="2" width="9.88671875" style="1" customWidth="1"/>
    <col min="3" max="5" width="8.6640625" style="1" customWidth="1"/>
    <col min="6" max="6" width="9.6640625" style="1" customWidth="1"/>
    <col min="7" max="10" width="8.6640625" style="1" customWidth="1"/>
    <col min="11" max="11" width="9.5546875" style="1" customWidth="1"/>
    <col min="12" max="12" width="33.6640625" style="1" customWidth="1"/>
    <col min="13" max="16384" width="11.33203125" style="1"/>
  </cols>
  <sheetData>
    <row r="1" spans="1:12" s="99" customFormat="1" ht="18.600000000000001" customHeight="1">
      <c r="A1" s="444" t="s">
        <v>358</v>
      </c>
      <c r="B1" s="310"/>
      <c r="C1" s="310"/>
      <c r="D1" s="310"/>
      <c r="E1" s="310"/>
      <c r="F1" s="310"/>
      <c r="G1" s="310"/>
      <c r="H1" s="310"/>
      <c r="I1" s="310"/>
      <c r="J1" s="310"/>
      <c r="K1" s="310"/>
      <c r="L1" s="315" t="str">
        <f>CONCATENATE("Les données concernent les territoires en vigueur au 1er janvier"," ", 'Aides traitements'!L4)</f>
        <v>Les données concernent les territoires en vigueur au 1er janvier 2022</v>
      </c>
    </row>
    <row r="2" spans="1:12" s="63" customFormat="1" ht="14.25" customHeight="1">
      <c r="A2" s="75"/>
      <c r="B2" s="75"/>
      <c r="C2" s="75"/>
      <c r="D2" s="75"/>
      <c r="E2" s="75"/>
      <c r="F2" s="75"/>
      <c r="G2" s="75"/>
      <c r="H2" s="75"/>
      <c r="I2" s="75"/>
      <c r="J2" s="75"/>
      <c r="K2" s="75"/>
      <c r="L2" s="75"/>
    </row>
    <row r="3" spans="1:12" s="63" customFormat="1" ht="15" customHeight="1">
      <c r="A3" s="94" t="s">
        <v>50</v>
      </c>
      <c r="B3" s="95"/>
      <c r="C3" s="95"/>
      <c r="D3" s="95"/>
      <c r="E3" s="95"/>
      <c r="F3" s="95"/>
      <c r="G3" s="95"/>
      <c r="H3" s="95"/>
      <c r="I3" s="96"/>
      <c r="J3" s="96"/>
      <c r="K3" s="96"/>
      <c r="L3" s="96"/>
    </row>
    <row r="4" spans="1:12" s="63" customFormat="1" ht="14.25" customHeight="1">
      <c r="A4" s="97"/>
      <c r="B4" s="97"/>
      <c r="C4" s="97"/>
      <c r="D4" s="97"/>
      <c r="E4" s="97"/>
      <c r="J4" s="941"/>
      <c r="K4" s="98"/>
      <c r="L4" s="98"/>
    </row>
    <row r="5" spans="1:12" ht="27.6" customHeight="1">
      <c r="A5" s="52" t="str">
        <f>CONCATENATE("Évolution du parc de logements depuis"," ",'Aides traitements'!I9)</f>
        <v>Évolution du parc de logements depuis 2009</v>
      </c>
      <c r="B5" s="191">
        <f>'Aides traitements'!$I$9</f>
        <v>2009</v>
      </c>
      <c r="C5" s="192">
        <f>'Aides traitements'!$I$10</f>
        <v>2014</v>
      </c>
      <c r="D5" s="191">
        <f>'Aides traitements'!$I$11</f>
        <v>2020</v>
      </c>
      <c r="E5" s="892"/>
      <c r="F5" s="893"/>
      <c r="G5" s="893"/>
      <c r="H5" s="893"/>
      <c r="I5"/>
      <c r="J5" s="942"/>
      <c r="K5" s="88"/>
      <c r="L5" s="89"/>
    </row>
    <row r="6" spans="1:12" ht="13.2" customHeight="1">
      <c r="A6" s="189" t="str">
        <f>INDEX('Aides traitements'!$A$5:$A$26,'Page de garde'!$C$4,1)</f>
        <v>Paul Bert</v>
      </c>
      <c r="B6" s="188">
        <f>VLOOKUP($A6,'Base de données'!$GJ$9:$GM$91,2,FALSE)</f>
        <v>1633.4981829999999</v>
      </c>
      <c r="C6" s="187">
        <f>VLOOKUP($A6,'Base de données'!$GJ$9:$GM$91,3,FALSE)</f>
        <v>1824.4987605349804</v>
      </c>
      <c r="D6" s="187">
        <f>VLOOKUP($A6,'Base de données'!$GJ$9:$GM$91,4,FALSE)</f>
        <v>2062.5017394846</v>
      </c>
      <c r="E6" s="894"/>
      <c r="F6" s="895"/>
      <c r="G6" s="895"/>
      <c r="H6" s="895"/>
      <c r="I6"/>
      <c r="J6" s="942"/>
      <c r="K6" s="88"/>
      <c r="L6" s="88"/>
    </row>
    <row r="7" spans="1:12" ht="13.2" customHeight="1">
      <c r="A7" s="190" t="str">
        <f>VLOOKUP(A6,'Aides traitements'!$A$5:$B$26,2,FALSE)</f>
        <v>Tours nord</v>
      </c>
      <c r="B7" s="934">
        <f>VLOOKUP($A7,'Base de données'!$GJ$9:$GM$91,2,FALSE)</f>
        <v>18696.478561</v>
      </c>
      <c r="C7" s="935">
        <f>VLOOKUP($A7,'Base de données'!$GJ$9:$GM$91,3,FALSE)</f>
        <v>20561.985350313356</v>
      </c>
      <c r="D7" s="84">
        <f>VLOOKUP($A7,'Base de données'!$GJ$9:$GM$91,4,FALSE)</f>
        <v>24059.998027963917</v>
      </c>
      <c r="E7" s="896"/>
      <c r="F7" s="547"/>
      <c r="G7" s="895"/>
      <c r="H7" s="895"/>
      <c r="I7"/>
      <c r="J7" s="942"/>
      <c r="K7" s="88"/>
      <c r="L7" s="88"/>
    </row>
    <row r="8" spans="1:12" ht="13.2" customHeight="1">
      <c r="A8" s="190" t="s">
        <v>0</v>
      </c>
      <c r="B8" s="934">
        <f>VLOOKUP($A8,'Base de données'!$GJ$9:$GM$91,2,FALSE)</f>
        <v>79551.91150799999</v>
      </c>
      <c r="C8" s="935">
        <f>VLOOKUP($A8,'Base de données'!$GJ$9:$GM$91,3,FALSE)</f>
        <v>82636.942846998121</v>
      </c>
      <c r="D8" s="84">
        <f>VLOOKUP($A8,'Base de données'!$GJ$9:$GM$91,4,FALSE)</f>
        <v>88662.077664331155</v>
      </c>
      <c r="E8" s="896"/>
      <c r="F8" s="547"/>
      <c r="G8" s="895"/>
      <c r="H8" s="895"/>
      <c r="I8"/>
      <c r="J8" s="942"/>
      <c r="K8" s="88"/>
      <c r="L8" s="88"/>
    </row>
    <row r="9" spans="1:12" ht="13.2" customHeight="1">
      <c r="A9" s="836" t="s">
        <v>304</v>
      </c>
      <c r="B9" s="936"/>
      <c r="C9" s="846"/>
      <c r="D9" s="837"/>
      <c r="E9" s="896"/>
      <c r="F9" s="547"/>
      <c r="G9" s="895"/>
      <c r="H9" s="895"/>
      <c r="I9"/>
      <c r="J9" s="942"/>
      <c r="K9" s="88"/>
      <c r="L9" s="88"/>
    </row>
    <row r="10" spans="1:12" ht="10.5" customHeight="1">
      <c r="A10" s="193" t="str">
        <f>CONCATENATE("Sources : Insee, RP",'Aides traitements'!$I$9,", ",'Aides traitements'!$I$10," et RP",'Aides traitements'!$I$11," exploitations principales et complémentaires")</f>
        <v>Sources : Insee, RP2009, 2014 et RP2020 exploitations principales et complémentaires</v>
      </c>
      <c r="B10" s="120"/>
      <c r="C10" s="120"/>
      <c r="D10" s="120"/>
      <c r="E10" s="120"/>
      <c r="F10" s="120"/>
      <c r="G10" s="71"/>
      <c r="H10" s="20"/>
      <c r="I10"/>
      <c r="J10" s="942"/>
      <c r="K10" s="88"/>
      <c r="L10" s="88"/>
    </row>
    <row r="11" spans="1:12" ht="6.6" customHeight="1">
      <c r="A11" s="20"/>
      <c r="B11" s="20"/>
      <c r="C11" s="20"/>
      <c r="D11" s="20"/>
      <c r="E11" s="20"/>
      <c r="F11" s="20"/>
      <c r="G11" s="20"/>
      <c r="H11" s="20"/>
      <c r="I11"/>
      <c r="J11" s="943"/>
      <c r="K11" s="88"/>
      <c r="L11" s="88"/>
    </row>
    <row r="12" spans="1:12" ht="6" hidden="1" customHeight="1">
      <c r="A12" s="20"/>
      <c r="B12" s="20"/>
      <c r="C12" s="20"/>
      <c r="D12" s="20"/>
      <c r="E12" s="20"/>
      <c r="F12" s="20"/>
      <c r="G12" s="20"/>
      <c r="H12" s="20"/>
      <c r="I12"/>
      <c r="J12" s="943"/>
      <c r="K12" s="88"/>
      <c r="L12" s="88"/>
    </row>
    <row r="13" spans="1:12" ht="6" customHeight="1">
      <c r="A13" s="53"/>
      <c r="B13" s="840"/>
      <c r="C13" s="840"/>
      <c r="D13" s="840"/>
      <c r="E13" s="840"/>
      <c r="F13" s="840"/>
      <c r="G13" s="840"/>
      <c r="H13"/>
      <c r="I13"/>
      <c r="J13" s="942"/>
      <c r="K13" s="88"/>
      <c r="L13" s="88"/>
    </row>
    <row r="14" spans="1:12" ht="6" customHeight="1">
      <c r="A14" s="937"/>
      <c r="B14" s="938"/>
      <c r="C14" s="938"/>
      <c r="D14" s="938"/>
      <c r="E14" s="938"/>
      <c r="F14" s="938"/>
      <c r="G14" s="938"/>
      <c r="H14"/>
      <c r="I14"/>
      <c r="J14" s="942"/>
      <c r="K14" s="88"/>
      <c r="L14" s="88"/>
    </row>
    <row r="15" spans="1:12" ht="7.2" customHeight="1">
      <c r="A15" s="120"/>
      <c r="B15" s="938"/>
      <c r="C15" s="938"/>
      <c r="D15" s="938"/>
      <c r="E15" s="938"/>
      <c r="F15" s="938"/>
      <c r="G15" s="938"/>
      <c r="H15"/>
      <c r="I15"/>
      <c r="J15" s="942"/>
      <c r="K15" s="88"/>
      <c r="L15" s="88"/>
    </row>
    <row r="16" spans="1:12" ht="3" customHeight="1">
      <c r="A16" s="120"/>
      <c r="B16" s="938"/>
      <c r="C16" s="938"/>
      <c r="D16" s="938"/>
      <c r="E16" s="938"/>
      <c r="F16" s="938"/>
      <c r="G16" s="938"/>
      <c r="H16"/>
      <c r="I16"/>
      <c r="J16" s="942"/>
      <c r="K16" s="88"/>
      <c r="L16" s="88"/>
    </row>
    <row r="17" spans="1:12" ht="1.2" customHeight="1">
      <c r="A17" s="120"/>
      <c r="B17" s="938"/>
      <c r="C17" s="938"/>
      <c r="D17" s="938"/>
      <c r="E17" s="938"/>
      <c r="F17" s="938"/>
      <c r="G17" s="938"/>
      <c r="H17"/>
      <c r="I17"/>
      <c r="J17" s="942"/>
      <c r="K17" s="88"/>
      <c r="L17" s="88"/>
    </row>
    <row r="18" spans="1:12" ht="10.199999999999999" hidden="1" customHeight="1">
      <c r="A18" s="939"/>
      <c r="B18" s="120"/>
      <c r="C18" s="120"/>
      <c r="D18" s="120"/>
      <c r="E18" s="120"/>
      <c r="F18" s="120"/>
      <c r="G18" s="120"/>
      <c r="H18" s="20"/>
      <c r="I18" s="20"/>
      <c r="J18" s="943"/>
      <c r="K18" s="88"/>
      <c r="L18" s="88"/>
    </row>
    <row r="19" spans="1:12" ht="5.4" hidden="1" customHeight="1">
      <c r="A19" s="20"/>
      <c r="B19" s="20"/>
      <c r="C19" s="20"/>
      <c r="D19" s="20"/>
      <c r="E19" s="20"/>
      <c r="F19" s="20"/>
      <c r="G19" s="20"/>
      <c r="H19" s="20"/>
      <c r="I19" s="20"/>
      <c r="J19" s="943"/>
      <c r="K19" s="88"/>
      <c r="L19" s="88"/>
    </row>
    <row r="20" spans="1:12" ht="14.25" customHeight="1">
      <c r="A20" s="20"/>
      <c r="B20" s="20"/>
      <c r="C20" s="20"/>
      <c r="D20" s="20"/>
      <c r="E20" s="20"/>
      <c r="F20" s="20"/>
      <c r="G20" s="20"/>
      <c r="H20" s="20"/>
      <c r="I20" s="20"/>
      <c r="J20" s="943"/>
      <c r="K20" s="88"/>
      <c r="L20" s="88"/>
    </row>
    <row r="21" spans="1:12" ht="12" customHeight="1">
      <c r="A21" s="1406" t="str">
        <f>CONCATENATE("Catégorie de logements 
en ",'Aides traitements'!$I$11)</f>
        <v>Catégorie de logements 
en 2020</v>
      </c>
      <c r="B21" s="1236" t="s">
        <v>86</v>
      </c>
      <c r="C21" s="1237"/>
      <c r="D21" s="1237"/>
      <c r="E21" s="1395" t="s">
        <v>189</v>
      </c>
      <c r="F21" s="1396"/>
      <c r="G21" s="1397"/>
      <c r="J21" s="943"/>
      <c r="K21" s="205" t="str">
        <f>CONCATENATE("Catégorie des logements en ",INDEX('Aides traitements'!$E$4:$E$5,'Page de garde'!$G$4,1)," et ",'Aides traitements'!$I$11," ", A23)</f>
        <v>Catégorie des logements en 2009 et 2020 Paul Bert</v>
      </c>
      <c r="L21" s="184"/>
    </row>
    <row r="22" spans="1:12" ht="25.5" customHeight="1">
      <c r="A22" s="1405"/>
      <c r="B22" s="196" t="s">
        <v>41</v>
      </c>
      <c r="C22" s="194" t="s">
        <v>286</v>
      </c>
      <c r="D22" s="198" t="s">
        <v>285</v>
      </c>
      <c r="E22" s="199" t="s">
        <v>41</v>
      </c>
      <c r="F22" s="195" t="s">
        <v>286</v>
      </c>
      <c r="G22" s="197" t="s">
        <v>285</v>
      </c>
      <c r="I22" s="25"/>
      <c r="J22" s="944"/>
      <c r="K22" s="88"/>
      <c r="L22" s="307" t="str">
        <f>CONCATENATE("Catégorie des logements en ",INDEX('Aides traitements'!$E$4:$E$5,'Page de garde'!$G$4,1)," et ",'Aides traitements'!$I$11,A23)</f>
        <v>Catégorie des logements en 2009 et 2020Paul Bert</v>
      </c>
    </row>
    <row r="23" spans="1:12" ht="13.2" customHeight="1">
      <c r="A23" s="189" t="str">
        <f>INDEX('Aides traitements'!$A$5:$A$26,'Page de garde'!$C$4,1)</f>
        <v>Paul Bert</v>
      </c>
      <c r="B23" s="932">
        <f>VLOOKUP($A23,'Base de données'!$GO$9:$GX$91,8,FALSE)</f>
        <v>1713.12983267411</v>
      </c>
      <c r="C23" s="932">
        <f>VLOOKUP($A23,'Base de données'!$GO$9:$GX$91,9,FALSE)</f>
        <v>64.430124271609102</v>
      </c>
      <c r="D23" s="951">
        <f>VLOOKUP($A23,'Base de données'!$GO$9:$GX$91,10,FALSE)</f>
        <v>284.94178253888202</v>
      </c>
      <c r="E23" s="304">
        <f>B23/SUM($B23:$D23)</f>
        <v>0.83060770319747912</v>
      </c>
      <c r="F23" s="304">
        <f t="shared" ref="F23:G25" si="0">C23/SUM($B23:$D23)</f>
        <v>3.1238821785289524E-2</v>
      </c>
      <c r="G23" s="304">
        <f t="shared" si="0"/>
        <v>0.13815347501723133</v>
      </c>
      <c r="J23" s="943"/>
      <c r="K23" s="88"/>
      <c r="L23" s="88"/>
    </row>
    <row r="24" spans="1:12" ht="13.2" customHeight="1">
      <c r="A24" s="190" t="str">
        <f>VLOOKUP(A23,'Aides traitements'!$A$5:$B$26,2,FALSE)</f>
        <v>Tours nord</v>
      </c>
      <c r="B24" s="952">
        <f>VLOOKUP($A24,'Base de données'!$GO$9:$GX$91,8,FALSE)</f>
        <v>21586.659991269302</v>
      </c>
      <c r="C24" s="952">
        <f>VLOOKUP($A24,'Base de données'!$GO$9:$GX$91,9,FALSE)</f>
        <v>456.43509412736518</v>
      </c>
      <c r="D24" s="953">
        <f>VLOOKUP($A24,'Base de données'!$GO$9:$GX$91,10,FALSE)</f>
        <v>2016.9029425672447</v>
      </c>
      <c r="E24" s="123">
        <f>B24/SUM($B24:$D24)</f>
        <v>0.89720123693194176</v>
      </c>
      <c r="F24" s="123">
        <f t="shared" si="0"/>
        <v>1.897070372145792E-2</v>
      </c>
      <c r="G24" s="123">
        <f>D24/SUM($B24:$D24)</f>
        <v>8.3828059346600287E-2</v>
      </c>
      <c r="J24" s="943"/>
      <c r="K24" s="92"/>
      <c r="L24" s="92"/>
    </row>
    <row r="25" spans="1:12" ht="13.2" customHeight="1">
      <c r="A25" s="190" t="s">
        <v>0</v>
      </c>
      <c r="B25" s="952">
        <f>VLOOKUP($A25,'Base de données'!$GO$9:$GX$91,8,FALSE)</f>
        <v>76487.646184664394</v>
      </c>
      <c r="C25" s="952">
        <f>VLOOKUP($A25,'Base de données'!$GO$9:$GX$91,9,FALSE)</f>
        <v>3186.0945538580481</v>
      </c>
      <c r="D25" s="953">
        <f>VLOOKUP($A25,'Base de données'!$GO$9:$GX$91,10,FALSE)</f>
        <v>8988.3369258087223</v>
      </c>
      <c r="E25" s="123">
        <f>B25/SUM($B25:$D25)</f>
        <v>0.86268727509681908</v>
      </c>
      <c r="F25" s="123">
        <f t="shared" si="0"/>
        <v>3.593525707710566E-2</v>
      </c>
      <c r="G25" s="123">
        <f>D25/SUM($B25:$D25)</f>
        <v>0.10137746782607532</v>
      </c>
      <c r="J25" s="943"/>
      <c r="K25" s="92"/>
      <c r="L25" s="92"/>
    </row>
    <row r="26" spans="1:12" ht="13.2" customHeight="1">
      <c r="A26" s="836" t="s">
        <v>304</v>
      </c>
      <c r="B26" s="837"/>
      <c r="C26" s="837"/>
      <c r="D26" s="940"/>
      <c r="E26" s="849"/>
      <c r="F26" s="849"/>
      <c r="G26" s="849"/>
      <c r="J26" s="943"/>
      <c r="K26" s="92"/>
      <c r="L26" s="92"/>
    </row>
    <row r="27" spans="1:12" ht="10.5" customHeight="1">
      <c r="A27" s="119" t="str">
        <f>CONCATENATE("Source : Insee, RP",'Aides traitements'!$I$11," exploitation principale et complémentaire")</f>
        <v>Source : Insee, RP2020 exploitation principale et complémentaire</v>
      </c>
      <c r="B27" s="108"/>
      <c r="C27" s="108"/>
      <c r="D27" s="108"/>
      <c r="E27" s="108"/>
      <c r="F27" s="108"/>
      <c r="G27" s="108"/>
      <c r="J27" s="943"/>
      <c r="K27" s="1421"/>
      <c r="L27" s="1421"/>
    </row>
    <row r="28" spans="1:12" ht="14.25" customHeight="1">
      <c r="A28" s="20"/>
      <c r="B28" s="20"/>
      <c r="C28" s="20"/>
      <c r="D28" s="20"/>
      <c r="E28" s="20"/>
      <c r="F28" s="20"/>
      <c r="G28" s="20"/>
      <c r="I28" s="20"/>
      <c r="J28" s="943"/>
      <c r="K28" s="88"/>
      <c r="L28" s="88"/>
    </row>
    <row r="29" spans="1:12" ht="14.25" customHeight="1">
      <c r="A29" s="20"/>
      <c r="B29" s="20"/>
      <c r="C29" s="20"/>
      <c r="D29" s="20"/>
      <c r="E29" s="20"/>
      <c r="F29" s="20"/>
      <c r="G29" s="20"/>
      <c r="I29" s="20"/>
      <c r="J29" s="943"/>
      <c r="K29" s="88"/>
      <c r="L29" s="88"/>
    </row>
    <row r="30" spans="1:12">
      <c r="A30" s="1406" t="str">
        <f>CONCATENATE("Typologie du parc de logements
en ",'Aides traitements'!$I$11)</f>
        <v>Typologie du parc de logements
en 2020</v>
      </c>
      <c r="B30" s="1236" t="s">
        <v>86</v>
      </c>
      <c r="C30" s="1237"/>
      <c r="D30" s="1237"/>
      <c r="E30" s="1395" t="s">
        <v>189</v>
      </c>
      <c r="F30" s="1396"/>
      <c r="G30" s="1397"/>
      <c r="J30" s="943"/>
      <c r="K30" s="90"/>
      <c r="L30" s="91"/>
    </row>
    <row r="31" spans="1:12" ht="13.5" customHeight="1">
      <c r="A31" s="1405"/>
      <c r="B31" s="946" t="s">
        <v>46</v>
      </c>
      <c r="C31" s="901" t="s">
        <v>39</v>
      </c>
      <c r="D31" s="947" t="s">
        <v>88</v>
      </c>
      <c r="E31" s="948" t="s">
        <v>46</v>
      </c>
      <c r="F31" s="948" t="s">
        <v>39</v>
      </c>
      <c r="G31" s="949" t="s">
        <v>88</v>
      </c>
      <c r="I31" s="23"/>
      <c r="J31" s="945"/>
      <c r="K31" s="93"/>
      <c r="L31" s="307" t="str">
        <f>CONCATENATE("Typologie des logements en ",INDEX('Aides traitements'!$E$4:$E$5,'Page de garde'!$G$4,1)," et ",'Aides traitements'!$I$11," ",A32)</f>
        <v>Typologie des logements en 2009 et 2020 Paul Bert</v>
      </c>
    </row>
    <row r="32" spans="1:12" ht="13.2" customHeight="1">
      <c r="A32" s="189" t="str">
        <f>INDEX('Aides traitements'!$A$5:$A$26,'Page de garde'!$C$4,1)</f>
        <v>Paul Bert</v>
      </c>
      <c r="B32" s="187">
        <f>VLOOKUP($A32,'Base de données'!$GZ$9:$HI$91,8,FALSE)</f>
        <v>627.87093828663899</v>
      </c>
      <c r="C32" s="187">
        <f>VLOOKUP($A32,'Base de données'!$GZ$9:$HI$91,9,FALSE)</f>
        <v>1416.1216111644501</v>
      </c>
      <c r="D32" s="188">
        <f>VLOOKUP($A32,'Base de données'!$GZ$9:$HI$91,10,FALSE)</f>
        <v>18.509190033511004</v>
      </c>
      <c r="E32" s="403">
        <f t="shared" ref="E32:G34" si="1">B32/SUM($B32:$D32)</f>
        <v>0.30442201636326283</v>
      </c>
      <c r="F32" s="403">
        <f t="shared" si="1"/>
        <v>0.68660383846188933</v>
      </c>
      <c r="G32" s="304">
        <f t="shared" si="1"/>
        <v>8.9741451748478421E-3</v>
      </c>
      <c r="J32" s="943"/>
      <c r="K32" s="88"/>
      <c r="L32" s="88"/>
    </row>
    <row r="33" spans="1:12" ht="13.2" customHeight="1">
      <c r="A33" s="190" t="str">
        <f>VLOOKUP(A32,'Aides traitements'!$A$5:$B$26,2,FALSE)</f>
        <v>Tours nord</v>
      </c>
      <c r="B33" s="84">
        <f>VLOOKUP($A33,'Base de données'!$GZ$9:$HI$91,8,FALSE)</f>
        <v>7345.9772603883939</v>
      </c>
      <c r="C33" s="84">
        <f>VLOOKUP($A33,'Base de données'!$GZ$9:$HI$91,9,FALSE)</f>
        <v>16537.632830391845</v>
      </c>
      <c r="D33" s="100">
        <f>VLOOKUP($A33,'Base de données'!$GZ$9:$HI$91,10,FALSE)</f>
        <v>176.38793718367504</v>
      </c>
      <c r="E33" s="123">
        <f t="shared" si="1"/>
        <v>0.30531911315414395</v>
      </c>
      <c r="F33" s="404">
        <f t="shared" si="1"/>
        <v>0.6873497167859639</v>
      </c>
      <c r="G33" s="123">
        <f t="shared" si="1"/>
        <v>7.3311700598922254E-3</v>
      </c>
      <c r="J33" s="943"/>
      <c r="K33" s="88"/>
      <c r="L33" s="88"/>
    </row>
    <row r="34" spans="1:12" ht="13.2" customHeight="1">
      <c r="A34" s="190" t="s">
        <v>0</v>
      </c>
      <c r="B34" s="84">
        <f>VLOOKUP($A34,'Base de données'!$GZ$9:$HI$91,8,FALSE)</f>
        <v>16771.330424501884</v>
      </c>
      <c r="C34" s="84">
        <f>VLOOKUP($A34,'Base de données'!$GZ$9:$HI$91,9,FALSE)</f>
        <v>70936.738271508104</v>
      </c>
      <c r="D34" s="100">
        <f>VLOOKUP($A34,'Base de données'!$GZ$9:$HI$91,10,FALSE)</f>
        <v>954.00896832118156</v>
      </c>
      <c r="E34" s="123">
        <f t="shared" si="1"/>
        <v>0.18916013324205017</v>
      </c>
      <c r="F34" s="404">
        <f t="shared" si="1"/>
        <v>0.80007981022134356</v>
      </c>
      <c r="G34" s="123">
        <f t="shared" si="1"/>
        <v>1.0760056536606295E-2</v>
      </c>
      <c r="J34" s="943"/>
      <c r="K34" s="88"/>
      <c r="L34" s="88"/>
    </row>
    <row r="35" spans="1:12" ht="13.2" customHeight="1">
      <c r="A35" s="836" t="s">
        <v>304</v>
      </c>
      <c r="B35" s="837"/>
      <c r="C35" s="837"/>
      <c r="D35" s="940"/>
      <c r="E35" s="849"/>
      <c r="F35" s="950"/>
      <c r="G35" s="849"/>
      <c r="J35" s="943"/>
      <c r="K35" s="88"/>
      <c r="L35" s="88"/>
    </row>
    <row r="36" spans="1:12" ht="10.5" customHeight="1">
      <c r="A36" s="119" t="str">
        <f>CONCATENATE("Source : Insee, RP",'Aides traitements'!$I$11," exploitation principale et complémentaire")</f>
        <v>Source : Insee, RP2020 exploitation principale et complémentaire</v>
      </c>
      <c r="B36" s="200"/>
      <c r="C36" s="200"/>
      <c r="D36" s="200"/>
      <c r="E36" s="200"/>
      <c r="J36" s="943"/>
      <c r="K36" s="88"/>
      <c r="L36" s="88"/>
    </row>
    <row r="37" spans="1:12" ht="14.25" customHeight="1">
      <c r="A37" s="20"/>
      <c r="B37" s="20"/>
      <c r="C37" s="20"/>
      <c r="D37" s="20"/>
      <c r="E37" s="20"/>
      <c r="F37" s="20"/>
      <c r="G37" s="20"/>
      <c r="H37" s="20"/>
      <c r="I37" s="20"/>
      <c r="J37" s="943"/>
      <c r="K37" s="88"/>
      <c r="L37" s="88"/>
    </row>
    <row r="38" spans="1:12" ht="14.25" customHeight="1">
      <c r="A38" s="20"/>
      <c r="B38" s="20"/>
      <c r="C38" s="20"/>
      <c r="D38" s="20"/>
      <c r="E38" s="20"/>
      <c r="F38" s="20"/>
      <c r="G38" s="20"/>
      <c r="H38" s="20"/>
      <c r="I38" s="20"/>
      <c r="J38" s="943"/>
      <c r="K38" s="88"/>
      <c r="L38" s="88"/>
    </row>
    <row r="39" spans="1:12" ht="14.25" customHeight="1">
      <c r="A39" s="20"/>
      <c r="B39" s="20"/>
      <c r="C39" s="20"/>
      <c r="D39" s="20"/>
      <c r="E39" s="20"/>
      <c r="F39" s="20"/>
      <c r="G39" s="20"/>
      <c r="H39" s="20"/>
      <c r="I39" s="20"/>
      <c r="J39" s="943"/>
      <c r="K39" s="88"/>
      <c r="L39" s="88"/>
    </row>
    <row r="40" spans="1:12" ht="14.25" customHeight="1">
      <c r="A40" s="104"/>
      <c r="B40" s="105"/>
      <c r="C40" s="119"/>
      <c r="D40" s="105"/>
      <c r="E40" s="97"/>
      <c r="F40" s="97"/>
      <c r="G40" s="97"/>
      <c r="H40" s="97"/>
      <c r="I40" s="97"/>
      <c r="J40" s="103"/>
      <c r="K40" s="103"/>
      <c r="L40" s="103"/>
    </row>
    <row r="41" spans="1:12" ht="14.25" customHeight="1">
      <c r="A41" s="104"/>
      <c r="B41" s="104"/>
      <c r="C41" s="104"/>
      <c r="D41" s="104"/>
      <c r="E41" s="104"/>
      <c r="F41" s="104"/>
      <c r="G41" s="104"/>
      <c r="H41" s="104"/>
      <c r="I41" s="104"/>
      <c r="J41" s="104"/>
      <c r="K41" s="104"/>
      <c r="L41" s="104"/>
    </row>
    <row r="42" spans="1:12" s="63" customFormat="1" ht="15" customHeight="1">
      <c r="A42" s="94" t="s">
        <v>51</v>
      </c>
      <c r="B42" s="95"/>
      <c r="C42" s="95"/>
      <c r="D42" s="95"/>
      <c r="E42" s="95"/>
      <c r="F42" s="95"/>
      <c r="G42" s="95"/>
      <c r="H42" s="95"/>
      <c r="I42" s="96"/>
      <c r="J42" s="96"/>
      <c r="K42" s="96"/>
      <c r="L42" s="96"/>
    </row>
    <row r="43" spans="1:12" ht="13.5" customHeight="1">
      <c r="A43" s="20"/>
      <c r="B43" s="20"/>
      <c r="C43" s="20"/>
      <c r="D43" s="20"/>
      <c r="E43" s="20"/>
      <c r="F43" s="20"/>
      <c r="G43" s="20"/>
      <c r="H43" s="20"/>
      <c r="I43" s="20"/>
      <c r="J43" s="20"/>
      <c r="K43" s="88"/>
      <c r="L43" s="88"/>
    </row>
    <row r="44" spans="1:12" ht="29.4" customHeight="1">
      <c r="A44" s="52" t="str">
        <f>CONCATENATE("Évolution du parc des résidences principales")</f>
        <v>Évolution du parc des résidences principales</v>
      </c>
      <c r="B44" s="891">
        <f>'Aides traitements'!$I$9</f>
        <v>2009</v>
      </c>
      <c r="C44" s="955">
        <f>'Aides traitements'!$I$10</f>
        <v>2014</v>
      </c>
      <c r="D44" s="891">
        <f>'Aides traitements'!$I$11</f>
        <v>2020</v>
      </c>
      <c r="E44" s="892"/>
      <c r="F44" s="893"/>
      <c r="G44" s="893"/>
      <c r="H44" s="893"/>
      <c r="I44" s="20"/>
      <c r="J44" s="20"/>
      <c r="K44" s="88"/>
      <c r="L44" s="88"/>
    </row>
    <row r="45" spans="1:12" ht="13.2" customHeight="1">
      <c r="A45" s="189" t="str">
        <f>INDEX('Aides traitements'!$A$5:$A$26,'Page de garde'!$C$4,1)</f>
        <v>Paul Bert</v>
      </c>
      <c r="B45" s="188">
        <f>VLOOKUP($A45,'Base de données'!$HK$9:$HT$91,2,FALSE)</f>
        <v>1489.1216890000001</v>
      </c>
      <c r="C45" s="188">
        <f>VLOOKUP($A45,'Base de données'!$HK$9:$HT$91,5,FALSE)</f>
        <v>1585.9806268362308</v>
      </c>
      <c r="D45" s="188">
        <f>VLOOKUP($A45,'Base de données'!$HK$9:$HT$91,8,FALSE)</f>
        <v>1713.12983267411</v>
      </c>
      <c r="E45" s="894"/>
      <c r="F45" s="895"/>
      <c r="G45" s="895"/>
      <c r="H45" s="895"/>
      <c r="I45" s="20"/>
      <c r="J45" s="20"/>
      <c r="K45" s="88"/>
      <c r="L45" s="88"/>
    </row>
    <row r="46" spans="1:12" ht="13.2" customHeight="1">
      <c r="A46" s="190" t="str">
        <f>VLOOKUP(A45,'Aides traitements'!$A$5:$B$26,2,FALSE)</f>
        <v>Tours nord</v>
      </c>
      <c r="B46" s="934">
        <f>VLOOKUP($A46,'Base de données'!$HK$9:$HT$91,2,FALSE)</f>
        <v>17572.211286000002</v>
      </c>
      <c r="C46" s="84">
        <f>VLOOKUP($A46,'Base de données'!$HK$9:$HT$91,5,FALSE)</f>
        <v>18745.280285570396</v>
      </c>
      <c r="D46" s="84">
        <f>VLOOKUP($A46,'Base de données'!$HK$9:$HT$91,8,FALSE)</f>
        <v>21586.659991269302</v>
      </c>
      <c r="E46" s="896"/>
      <c r="F46" s="547"/>
      <c r="G46" s="895"/>
      <c r="H46" s="547"/>
      <c r="I46" s="20"/>
      <c r="J46" s="20"/>
      <c r="K46" s="88"/>
      <c r="L46" s="88"/>
    </row>
    <row r="47" spans="1:12" ht="13.2" customHeight="1">
      <c r="A47" s="190" t="s">
        <v>0</v>
      </c>
      <c r="B47" s="934">
        <f>VLOOKUP($A47,'Base de données'!$HK$9:$HT$91,2,FALSE)</f>
        <v>72528.205833</v>
      </c>
      <c r="C47" s="84">
        <f>VLOOKUP($A47,'Base de données'!$HK$9:$HT$91,5,FALSE)</f>
        <v>73131.191503709299</v>
      </c>
      <c r="D47" s="84">
        <f>VLOOKUP($A47,'Base de données'!$HK$9:$HT$91,8,FALSE)</f>
        <v>76487.646184664394</v>
      </c>
      <c r="E47" s="896"/>
      <c r="F47" s="547"/>
      <c r="G47" s="895"/>
      <c r="H47" s="547"/>
      <c r="I47" s="20"/>
      <c r="J47" s="20"/>
      <c r="K47" s="88"/>
      <c r="L47" s="88"/>
    </row>
    <row r="48" spans="1:12" ht="13.2" customHeight="1">
      <c r="A48" s="836" t="s">
        <v>304</v>
      </c>
      <c r="B48" s="936"/>
      <c r="C48" s="837"/>
      <c r="D48" s="837"/>
      <c r="E48" s="896"/>
      <c r="F48" s="547"/>
      <c r="G48" s="895"/>
      <c r="H48" s="547"/>
      <c r="I48" s="20"/>
      <c r="J48" s="20"/>
      <c r="K48" s="88"/>
      <c r="L48" s="88"/>
    </row>
    <row r="49" spans="1:12" ht="10.5" customHeight="1">
      <c r="A49" s="193" t="str">
        <f>CONCATENATE("Sources : Insee, RP",'Aides traitements'!$I$9,", ",'Aides traitements'!$I$10," et RP",'Aides traitements'!$I$11," exploitations principales et complémentaires")</f>
        <v>Sources : Insee, RP2009, 2014 et RP2020 exploitations principales et complémentaires</v>
      </c>
      <c r="B49" s="108"/>
      <c r="C49" s="108"/>
      <c r="D49" s="108"/>
      <c r="E49" s="108"/>
      <c r="F49" s="108"/>
      <c r="G49" s="20"/>
      <c r="H49" s="20"/>
      <c r="I49" s="20"/>
      <c r="J49" s="20"/>
      <c r="K49" s="88"/>
      <c r="L49" s="88"/>
    </row>
    <row r="50" spans="1:12" ht="14.1" customHeight="1">
      <c r="A50" s="20"/>
      <c r="B50" s="20"/>
      <c r="C50" s="20"/>
      <c r="D50" s="20"/>
      <c r="E50" s="20"/>
      <c r="F50" s="20"/>
      <c r="G50" s="20"/>
      <c r="H50" s="20"/>
      <c r="I50" s="20"/>
      <c r="J50" s="24"/>
      <c r="K50" s="88"/>
      <c r="L50" s="88"/>
    </row>
    <row r="51" spans="1:12" ht="14.1" customHeight="1">
      <c r="A51" s="20"/>
      <c r="B51" s="20"/>
      <c r="C51" s="20"/>
      <c r="D51" s="20"/>
      <c r="E51" s="20"/>
      <c r="F51" s="20"/>
      <c r="G51" s="20"/>
      <c r="H51" s="20"/>
      <c r="I51" s="20"/>
      <c r="J51" s="24"/>
      <c r="K51" s="88"/>
      <c r="L51" s="88"/>
    </row>
    <row r="52" spans="1:12" ht="12" customHeight="1">
      <c r="A52" s="1406" t="str">
        <f>CONCATENATE("Taille des résidences principales 
en ",'Aides traitements'!$I$11)</f>
        <v>Taille des résidences principales 
en 2020</v>
      </c>
      <c r="B52" s="1236" t="s">
        <v>86</v>
      </c>
      <c r="C52" s="1237"/>
      <c r="D52" s="1394"/>
      <c r="E52" s="1395" t="s">
        <v>189</v>
      </c>
      <c r="F52" s="1396"/>
      <c r="G52" s="1397"/>
      <c r="H52" s="20"/>
      <c r="I52" s="1422" t="s">
        <v>216</v>
      </c>
      <c r="K52" s="88"/>
      <c r="L52" s="88"/>
    </row>
    <row r="53" spans="1:12" ht="24.75" customHeight="1">
      <c r="A53" s="1405"/>
      <c r="B53" s="946" t="s">
        <v>213</v>
      </c>
      <c r="C53" s="901" t="s">
        <v>214</v>
      </c>
      <c r="D53" s="956" t="s">
        <v>215</v>
      </c>
      <c r="E53" s="948" t="s">
        <v>213</v>
      </c>
      <c r="F53" s="949" t="s">
        <v>214</v>
      </c>
      <c r="G53" s="957" t="s">
        <v>215</v>
      </c>
      <c r="H53" s="20"/>
      <c r="I53" s="1423"/>
      <c r="K53" s="93"/>
      <c r="L53" s="307" t="str">
        <f>CONCATENATE("Taille des résidences principales en 
",INDEX('Aides traitements'!$E$4:$E$5,'Page de garde'!$G$4,1)," et ",'Aides traitements'!$I$11," ",A54)</f>
        <v>Taille des résidences principales en 
2009 et 2020 Paul Bert</v>
      </c>
    </row>
    <row r="54" spans="1:12" ht="13.2" customHeight="1">
      <c r="A54" s="189" t="str">
        <f>INDEX('Aides traitements'!$A$5:$A$26,'Page de garde'!$C$4,1)</f>
        <v>Paul Bert</v>
      </c>
      <c r="B54" s="187">
        <f>VLOOKUP($A54,'Base de données'!$IP$9:$JH$91,14,FALSE)+VLOOKUP($A54,'Base de données'!$IP$9:$JH$91,15,FALSE)</f>
        <v>774.15060042229197</v>
      </c>
      <c r="C54" s="187">
        <f>VLOOKUP($A54,'Base de données'!$IP$9:$JH$91,16,FALSE)+VLOOKUP($A54,'Base de données'!$IP$9:$JH$91,17,FALSE)</f>
        <v>613.853310552891</v>
      </c>
      <c r="D54" s="187">
        <f>VLOOKUP($A54,'Base de données'!$IP$9:$JH$91,18,FALSE)</f>
        <v>325.12592169892702</v>
      </c>
      <c r="E54" s="304">
        <f t="shared" ref="E54:G56" si="2">B54/SUM($B54:$D54)</f>
        <v>0.45189254524502775</v>
      </c>
      <c r="F54" s="304">
        <f t="shared" si="2"/>
        <v>0.35832270201885208</v>
      </c>
      <c r="G54" s="304">
        <f t="shared" si="2"/>
        <v>0.18978475273612028</v>
      </c>
      <c r="H54" s="20"/>
      <c r="I54" s="201">
        <f>VLOOKUP($A54,'Base de données'!$HK$9:$HT$91,9,FALSE)/VLOOKUP($A54,'Base de données'!$HK$9:$HT$91,8,FALSE)</f>
        <v>3.12536215554274</v>
      </c>
      <c r="K54" s="1420"/>
      <c r="L54" s="1420"/>
    </row>
    <row r="55" spans="1:12" ht="13.2" customHeight="1">
      <c r="A55" s="190" t="str">
        <f>VLOOKUP(A54,'Aides traitements'!$A$5:$B$26,2,FALSE)</f>
        <v>Tours nord</v>
      </c>
      <c r="B55" s="84">
        <f>VLOOKUP($A55,'Base de données'!$IP$9:$JH$91,14,FALSE)+VLOOKUP($A55,'Base de données'!$IP$9:$JH$91,15,FALSE)</f>
        <v>6410.4534289166022</v>
      </c>
      <c r="C55" s="84">
        <f>VLOOKUP($A55,'Base de données'!$IP$9:$JH$91,16,FALSE)+VLOOKUP($A55,'Base de données'!$IP$9:$JH$91,17,FALSE)</f>
        <v>10886.847302347183</v>
      </c>
      <c r="D55" s="84">
        <f>VLOOKUP($A55,'Base de données'!$IP$9:$JH$91,18,FALSE)</f>
        <v>4289.3592600055181</v>
      </c>
      <c r="E55" s="123">
        <f t="shared" si="2"/>
        <v>0.29696365401175084</v>
      </c>
      <c r="F55" s="123">
        <f t="shared" si="2"/>
        <v>0.50433218046471073</v>
      </c>
      <c r="G55" s="123">
        <f t="shared" si="2"/>
        <v>0.19870416552353831</v>
      </c>
      <c r="H55" s="20"/>
      <c r="I55" s="954">
        <f>VLOOKUP($A55,'Base de données'!$HK$9:$HT$91,9,FALSE)/VLOOKUP($A55,'Base de données'!$HK$9:$HT$91,8,FALSE)</f>
        <v>3.3803040623902132</v>
      </c>
      <c r="K55" s="90"/>
      <c r="L55" s="91"/>
    </row>
    <row r="56" spans="1:12" ht="13.2" customHeight="1">
      <c r="A56" s="190" t="s">
        <v>0</v>
      </c>
      <c r="B56" s="84">
        <f>VLOOKUP($A56,'Base de données'!$IP$9:$JH$91,14,FALSE)+VLOOKUP($A56,'Base de données'!$IP$9:$JH$91,15,FALSE)</f>
        <v>29665.429362618484</v>
      </c>
      <c r="C56" s="84">
        <f>VLOOKUP($A56,'Base de données'!$IP$9:$JH$91,16,FALSE)+VLOOKUP($A56,'Base de données'!$IP$9:$JH$91,17,FALSE)</f>
        <v>34049.731922097126</v>
      </c>
      <c r="D56" s="84">
        <f>VLOOKUP($A56,'Base de données'!$IP$9:$JH$91,18,FALSE)</f>
        <v>12772.484899948786</v>
      </c>
      <c r="E56" s="123">
        <f t="shared" si="2"/>
        <v>0.38784602275506208</v>
      </c>
      <c r="F56" s="123">
        <f t="shared" si="2"/>
        <v>0.44516642386785882</v>
      </c>
      <c r="G56" s="123">
        <f t="shared" si="2"/>
        <v>0.1669875533770791</v>
      </c>
      <c r="H56" s="20"/>
      <c r="I56" s="954">
        <f>VLOOKUP($A56,'Base de données'!$HK$9:$HT$91,9,FALSE)/VLOOKUP($A56,'Base de données'!$HK$9:$HT$91,8,FALSE)</f>
        <v>3.11498465808614</v>
      </c>
      <c r="K56" s="88"/>
      <c r="L56" s="88"/>
    </row>
    <row r="57" spans="1:12" ht="13.2" customHeight="1">
      <c r="A57" s="836" t="s">
        <v>304</v>
      </c>
      <c r="B57" s="837"/>
      <c r="C57" s="837"/>
      <c r="D57" s="837"/>
      <c r="E57" s="849"/>
      <c r="F57" s="849"/>
      <c r="G57" s="849"/>
      <c r="H57" s="20"/>
      <c r="I57" s="966"/>
      <c r="K57" s="88"/>
      <c r="L57" s="88"/>
    </row>
    <row r="58" spans="1:12" ht="10.5" customHeight="1">
      <c r="A58" s="119" t="str">
        <f>CONCATENATE("Source : Insee, RP",'Aides traitements'!$I$11," exploitation principale et complémentaire")</f>
        <v>Source : Insee, RP2020 exploitation principale et complémentaire</v>
      </c>
      <c r="B58" s="108"/>
      <c r="C58" s="108"/>
      <c r="D58" s="108"/>
      <c r="E58" s="20"/>
      <c r="F58" s="20"/>
      <c r="G58" s="20"/>
      <c r="H58" s="20"/>
      <c r="I58" s="71"/>
      <c r="J58" s="24"/>
      <c r="K58" s="88"/>
      <c r="L58" s="88"/>
    </row>
    <row r="59" spans="1:12" ht="14.1" customHeight="1">
      <c r="A59" s="33"/>
      <c r="B59" s="33"/>
      <c r="C59" s="33"/>
      <c r="D59" s="33"/>
      <c r="E59" s="20"/>
      <c r="F59" s="20"/>
      <c r="G59" s="20"/>
      <c r="H59" s="20"/>
      <c r="I59" s="20"/>
      <c r="J59" s="24"/>
      <c r="K59" s="88"/>
      <c r="L59" s="88"/>
    </row>
    <row r="60" spans="1:12" ht="14.1" customHeight="1">
      <c r="A60" s="33"/>
      <c r="B60" s="33"/>
      <c r="C60" s="33"/>
      <c r="D60" s="33"/>
      <c r="E60" s="20"/>
      <c r="F60" s="20"/>
      <c r="G60" s="20"/>
      <c r="H60" s="20"/>
      <c r="I60" s="20"/>
      <c r="J60" s="24"/>
      <c r="K60" s="88"/>
      <c r="L60" s="88"/>
    </row>
    <row r="61" spans="1:12" ht="12" customHeight="1">
      <c r="A61" s="1405" t="str">
        <f>CONCATENATE("Statut d'occupation des résidences principales en ",'Aides traitements'!$I$11)</f>
        <v>Statut d'occupation des résidences principales en 2020</v>
      </c>
      <c r="B61" s="1407" t="s">
        <v>86</v>
      </c>
      <c r="C61" s="1407"/>
      <c r="D61" s="1407"/>
      <c r="E61" s="1407"/>
      <c r="F61" s="1424" t="s">
        <v>189</v>
      </c>
      <c r="G61" s="1424"/>
      <c r="H61" s="1424"/>
      <c r="I61" s="1424"/>
      <c r="J61" s="30"/>
      <c r="K61" s="88"/>
      <c r="L61" s="88"/>
    </row>
    <row r="62" spans="1:12" ht="24.75" customHeight="1">
      <c r="A62" s="1405"/>
      <c r="B62" s="203" t="s">
        <v>42</v>
      </c>
      <c r="C62" s="203" t="s">
        <v>45</v>
      </c>
      <c r="D62" s="203" t="s">
        <v>456</v>
      </c>
      <c r="E62" s="203" t="s">
        <v>90</v>
      </c>
      <c r="F62" s="204" t="s">
        <v>42</v>
      </c>
      <c r="G62" s="204" t="s">
        <v>45</v>
      </c>
      <c r="H62" s="204" t="s">
        <v>43</v>
      </c>
      <c r="I62" s="204" t="s">
        <v>90</v>
      </c>
      <c r="J62" s="102"/>
      <c r="K62" s="88"/>
      <c r="L62" s="307" t="str">
        <f>CONCATENATE("Statut d'occupation en ",INDEX('Aides traitements'!$E$4:$E$5,'Page de garde'!$G$4,1)," et ",'Aides traitements'!$I$11," ",A63)</f>
        <v>Statut d'occupation en 2009 et 2020 Paul Bert</v>
      </c>
    </row>
    <row r="63" spans="1:12" ht="13.2" customHeight="1">
      <c r="A63" s="189" t="str">
        <f>INDEX('Aides traitements'!$A$5:$A$26,'Page de garde'!$C$4,1)</f>
        <v>Paul Bert</v>
      </c>
      <c r="B63" s="187">
        <f>VLOOKUP($A63,'Base de données'!$JJ$9:$JV$91,10,FALSE)</f>
        <v>732.16230933018198</v>
      </c>
      <c r="C63" s="187">
        <f>VLOOKUP($A63,'Base de données'!$JJ$9:$JV$91,11,FALSE)</f>
        <v>904.32699827483896</v>
      </c>
      <c r="D63" s="187">
        <f>VLOOKUP($A63,'Base de données'!$JJ$9:$JV$91,12,FALSE)</f>
        <v>55.363862220481998</v>
      </c>
      <c r="E63" s="187">
        <f>VLOOKUP($A63,'Base de données'!$JJ$9:$JV$91,13,FALSE)</f>
        <v>21.276662848607401</v>
      </c>
      <c r="F63" s="304">
        <f t="shared" ref="F63:I65" si="3">B63/SUM($B63:$E63)</f>
        <v>0.4273828494290553</v>
      </c>
      <c r="G63" s="304">
        <f t="shared" si="3"/>
        <v>0.52788001296038933</v>
      </c>
      <c r="H63" s="304">
        <f t="shared" si="3"/>
        <v>3.2317376747833387E-2</v>
      </c>
      <c r="I63" s="304">
        <f t="shared" si="3"/>
        <v>1.2419760862721998E-2</v>
      </c>
      <c r="J63" s="102"/>
      <c r="K63" s="90"/>
      <c r="L63" s="91"/>
    </row>
    <row r="64" spans="1:12" ht="13.2" customHeight="1">
      <c r="A64" s="190" t="str">
        <f>VLOOKUP(A63,'Aides traitements'!$A$5:$B$26,2,FALSE)</f>
        <v>Tours nord</v>
      </c>
      <c r="B64" s="84">
        <f>VLOOKUP($A64,'Base de données'!$JJ$9:$JV$91,10,FALSE)</f>
        <v>8781.7990208244992</v>
      </c>
      <c r="C64" s="84">
        <f>VLOOKUP($A64,'Base de données'!$JJ$9:$JV$91,11,FALSE)</f>
        <v>7145.729330594063</v>
      </c>
      <c r="D64" s="84">
        <f>VLOOKUP($A64,'Base de données'!$JJ$9:$JV$91,12,FALSE)</f>
        <v>5466.3122161400388</v>
      </c>
      <c r="E64" s="84">
        <f>VLOOKUP($A64,'Base de données'!$JJ$9:$JV$91,13,FALSE)</f>
        <v>192.81942371071096</v>
      </c>
      <c r="F64" s="123">
        <f t="shared" si="3"/>
        <v>0.40681601620520647</v>
      </c>
      <c r="G64" s="123">
        <f t="shared" si="3"/>
        <v>0.33102524121305199</v>
      </c>
      <c r="H64" s="123">
        <f t="shared" si="3"/>
        <v>0.25322640085825593</v>
      </c>
      <c r="I64" s="123">
        <f t="shared" si="3"/>
        <v>8.9323417234855439E-3</v>
      </c>
      <c r="J64" s="102"/>
      <c r="K64" s="92"/>
      <c r="L64" s="92"/>
    </row>
    <row r="65" spans="1:12" ht="13.2" customHeight="1">
      <c r="A65" s="190" t="s">
        <v>0</v>
      </c>
      <c r="B65" s="84">
        <f>VLOOKUP($A65,'Base de données'!$JJ$9:$JV$91,10,FALSE)</f>
        <v>25012.192243960442</v>
      </c>
      <c r="C65" s="84">
        <f>VLOOKUP($A65,'Base de données'!$JJ$9:$JV$91,11,FALSE)</f>
        <v>30377.969075308705</v>
      </c>
      <c r="D65" s="84">
        <f>VLOOKUP($A65,'Base de données'!$JJ$9:$JV$91,12,FALSE)</f>
        <v>19889.786960693367</v>
      </c>
      <c r="E65" s="84">
        <f>VLOOKUP($A65,'Base de données'!$JJ$9:$JV$91,13,FALSE)</f>
        <v>1207.6979047018733</v>
      </c>
      <c r="F65" s="123">
        <f t="shared" si="3"/>
        <v>0.32700956940907061</v>
      </c>
      <c r="G65" s="123">
        <f t="shared" si="3"/>
        <v>0.39716177174503542</v>
      </c>
      <c r="H65" s="123">
        <f t="shared" si="3"/>
        <v>0.26003920832749106</v>
      </c>
      <c r="I65" s="123">
        <f t="shared" si="3"/>
        <v>1.5789450518402987E-2</v>
      </c>
      <c r="J65" s="102"/>
      <c r="K65" s="88"/>
      <c r="L65" s="88"/>
    </row>
    <row r="66" spans="1:12" ht="13.2" customHeight="1">
      <c r="A66" s="836" t="s">
        <v>304</v>
      </c>
      <c r="B66" s="837"/>
      <c r="C66" s="837"/>
      <c r="D66" s="837"/>
      <c r="E66" s="837"/>
      <c r="F66" s="849"/>
      <c r="G66" s="849"/>
      <c r="H66" s="849"/>
      <c r="I66" s="849"/>
      <c r="J66" s="102"/>
      <c r="K66" s="88"/>
      <c r="L66" s="88"/>
    </row>
    <row r="67" spans="1:12" ht="10.5" customHeight="1">
      <c r="A67" s="119" t="str">
        <f>CONCATENATE("Source : Insee, RP",'Aides traitements'!$I$11," exploitation principale et complémentaire")</f>
        <v>Source : Insee, RP2020 exploitation principale et complémentaire</v>
      </c>
      <c r="B67"/>
      <c r="C67"/>
      <c r="D67" s="108" t="s">
        <v>612</v>
      </c>
      <c r="E67" s="108"/>
      <c r="F67" s="108"/>
      <c r="G67" s="108"/>
      <c r="H67" s="108"/>
      <c r="I67" s="108"/>
      <c r="J67" s="102"/>
      <c r="K67" s="88"/>
      <c r="L67" s="88"/>
    </row>
    <row r="68" spans="1:12" customFormat="1" ht="14.1" customHeight="1">
      <c r="J68" s="102"/>
      <c r="K68" s="96"/>
      <c r="L68" s="96"/>
    </row>
    <row r="69" spans="1:12" ht="14.1" customHeight="1">
      <c r="A69" s="33"/>
      <c r="B69" s="33"/>
      <c r="C69" s="26"/>
      <c r="D69" s="107"/>
      <c r="E69" s="33"/>
      <c r="F69" s="33"/>
      <c r="G69" s="33"/>
      <c r="H69" s="33"/>
      <c r="I69" s="33"/>
      <c r="J69" s="102"/>
      <c r="K69" s="88"/>
      <c r="L69" s="88"/>
    </row>
    <row r="70" spans="1:12" ht="12" customHeight="1">
      <c r="A70" s="1406" t="str">
        <f>CONCATENATE("Ancienneté d'emménagement en ",'Aides traitements'!$I$11)</f>
        <v>Ancienneté d'emménagement en 2020</v>
      </c>
      <c r="B70" s="1407" t="s">
        <v>86</v>
      </c>
      <c r="C70" s="1407"/>
      <c r="D70" s="1407"/>
      <c r="E70" s="1407"/>
      <c r="F70" s="1424" t="s">
        <v>189</v>
      </c>
      <c r="G70" s="1424"/>
      <c r="H70" s="1424"/>
      <c r="I70" s="1424"/>
      <c r="J70" s="102"/>
      <c r="K70" s="88"/>
      <c r="L70" s="88"/>
    </row>
    <row r="71" spans="1:12" ht="30" customHeight="1">
      <c r="A71" s="1405"/>
      <c r="B71" s="930" t="s">
        <v>47</v>
      </c>
      <c r="C71" s="930" t="s">
        <v>48</v>
      </c>
      <c r="D71" s="930" t="s">
        <v>49</v>
      </c>
      <c r="E71" s="930" t="s">
        <v>217</v>
      </c>
      <c r="F71" s="969" t="s">
        <v>47</v>
      </c>
      <c r="G71" s="969" t="s">
        <v>48</v>
      </c>
      <c r="H71" s="969" t="s">
        <v>49</v>
      </c>
      <c r="I71" s="969" t="s">
        <v>217</v>
      </c>
      <c r="J71" s="102"/>
      <c r="K71" s="88"/>
      <c r="L71" s="970"/>
    </row>
    <row r="72" spans="1:12" ht="13.2" customHeight="1">
      <c r="A72" s="189" t="str">
        <f>INDEX('Aides traitements'!$A$5:$A$26,'Page de garde'!$C$4,1)</f>
        <v>Paul Bert</v>
      </c>
      <c r="B72" s="932">
        <f>VLOOKUP($A72,'Base de données'!$JX$9:$KB$91,2,FALSE)</f>
        <v>435.35886982371102</v>
      </c>
      <c r="C72" s="932">
        <f>VLOOKUP($A72,'Base de données'!$JX$9:$KB$91,3,FALSE)</f>
        <v>511.010493117338</v>
      </c>
      <c r="D72" s="932">
        <f>VLOOKUP($A72,'Base de données'!$JX$9:$KB$91,4,FALSE)</f>
        <v>254.87074125058399</v>
      </c>
      <c r="E72" s="932">
        <f>VLOOKUP($A72,'Base de données'!$JX$9:$KB$91,5,FALSE)</f>
        <v>511.88972848247698</v>
      </c>
      <c r="F72" s="304">
        <f t="shared" ref="F72:I74" si="4">B72/SUM($B72:$E72)</f>
        <v>0.25413069197688165</v>
      </c>
      <c r="G72" s="304">
        <f t="shared" si="4"/>
        <v>0.29829058100031808</v>
      </c>
      <c r="H72" s="304">
        <f t="shared" si="4"/>
        <v>0.14877491267123841</v>
      </c>
      <c r="I72" s="304">
        <f t="shared" si="4"/>
        <v>0.29880381435156184</v>
      </c>
      <c r="J72" s="102"/>
      <c r="K72" s="88"/>
      <c r="L72" s="88"/>
    </row>
    <row r="73" spans="1:12" ht="12.75" customHeight="1">
      <c r="A73" s="190" t="str">
        <f>VLOOKUP(A72,'Aides traitements'!$A$5:$B$26,2,FALSE)</f>
        <v>Tours nord</v>
      </c>
      <c r="B73" s="952">
        <f>VLOOKUP($A73,'Base de données'!$JX$9:$KB$91,2,FALSE)</f>
        <v>3832.077577093251</v>
      </c>
      <c r="C73" s="952">
        <f>VLOOKUP($A73,'Base de données'!$JX$9:$KB$91,3,FALSE)</f>
        <v>6126.2331671549864</v>
      </c>
      <c r="D73" s="952">
        <f>VLOOKUP($A73,'Base de données'!$JX$9:$KB$91,4,FALSE)</f>
        <v>3857.7997721285201</v>
      </c>
      <c r="E73" s="952">
        <f>VLOOKUP($A73,'Base de données'!$JX$9:$KB$91,5,FALSE)</f>
        <v>7770.5494748925457</v>
      </c>
      <c r="F73" s="123">
        <f t="shared" si="4"/>
        <v>0.17752063444011856</v>
      </c>
      <c r="G73" s="123">
        <f t="shared" si="4"/>
        <v>0.2837971770358515</v>
      </c>
      <c r="H73" s="123">
        <f t="shared" si="4"/>
        <v>0.17871221271325913</v>
      </c>
      <c r="I73" s="123">
        <f t="shared" si="4"/>
        <v>0.35996997581077084</v>
      </c>
      <c r="K73" s="88"/>
      <c r="L73" s="971" t="str">
        <f>A70</f>
        <v>Ancienneté d'emménagement en 2020</v>
      </c>
    </row>
    <row r="74" spans="1:12" ht="13.2" customHeight="1">
      <c r="A74" s="190" t="s">
        <v>0</v>
      </c>
      <c r="B74" s="952">
        <f>VLOOKUP($A74,'Base de données'!$JX$9:$KB$91,2,FALSE)</f>
        <v>16741.388455855831</v>
      </c>
      <c r="C74" s="952">
        <f>VLOOKUP($A74,'Base de données'!$JX$9:$KB$91,3,FALSE)</f>
        <v>22150.004667197609</v>
      </c>
      <c r="D74" s="952">
        <f>VLOOKUP($A74,'Base de données'!$JX$9:$KB$91,4,FALSE)</f>
        <v>12432.288014625145</v>
      </c>
      <c r="E74" s="952">
        <f>VLOOKUP($A74,'Base de données'!$JX$9:$KB$91,5,FALSE)</f>
        <v>25163.96504698581</v>
      </c>
      <c r="F74" s="123">
        <f t="shared" si="4"/>
        <v>0.21887702512686869</v>
      </c>
      <c r="G74" s="123">
        <f t="shared" si="4"/>
        <v>0.28958930980462877</v>
      </c>
      <c r="H74" s="123">
        <f t="shared" si="4"/>
        <v>0.16253981701319228</v>
      </c>
      <c r="I74" s="123">
        <f t="shared" si="4"/>
        <v>0.32899384805531029</v>
      </c>
      <c r="J74" s="103"/>
      <c r="K74" s="88"/>
      <c r="L74" s="88"/>
    </row>
    <row r="75" spans="1:12" ht="13.2" customHeight="1">
      <c r="A75" s="836" t="s">
        <v>304</v>
      </c>
      <c r="B75" s="968"/>
      <c r="C75" s="968"/>
      <c r="D75" s="968"/>
      <c r="E75" s="968"/>
      <c r="F75" s="849"/>
      <c r="G75" s="849"/>
      <c r="H75" s="849"/>
      <c r="I75" s="849"/>
      <c r="J75" s="103"/>
      <c r="K75" s="88"/>
      <c r="L75" s="88"/>
    </row>
    <row r="76" spans="1:12" ht="10.5" customHeight="1">
      <c r="A76" s="119" t="str">
        <f>CONCATENATE("Source : Insee, RP",'Aides traitements'!$I$11," exploitation principale et complémentaire")</f>
        <v>Source : Insee, RP2020 exploitation principale et complémentaire</v>
      </c>
      <c r="B76"/>
      <c r="C76"/>
      <c r="D76"/>
      <c r="E76" s="97"/>
      <c r="F76" s="97"/>
      <c r="G76" s="97"/>
      <c r="H76" s="97"/>
      <c r="I76" s="97"/>
      <c r="K76" s="88"/>
      <c r="L76" s="88"/>
    </row>
    <row r="77" spans="1:12" ht="14.1" customHeight="1">
      <c r="A77" s="33"/>
      <c r="B77" s="33"/>
      <c r="C77" s="33"/>
      <c r="D77" s="20"/>
      <c r="E77" s="20"/>
      <c r="F77" s="20"/>
      <c r="H77" s="20"/>
      <c r="J77" s="24"/>
      <c r="K77" s="96"/>
      <c r="L77" s="96"/>
    </row>
    <row r="78" spans="1:12" ht="14.1" customHeight="1">
      <c r="A78" s="33"/>
      <c r="B78" s="33"/>
      <c r="C78" s="33"/>
      <c r="D78" s="20"/>
      <c r="E78" s="20"/>
      <c r="F78" s="20"/>
      <c r="G78" s="20"/>
      <c r="H78" s="20"/>
      <c r="J78" s="24"/>
      <c r="K78" s="96"/>
      <c r="L78" s="96"/>
    </row>
    <row r="79" spans="1:12" ht="14.1" customHeight="1">
      <c r="A79" s="33"/>
      <c r="B79" s="33"/>
      <c r="C79" s="33"/>
      <c r="D79" s="33"/>
      <c r="E79" s="33"/>
      <c r="F79" s="33"/>
      <c r="G79" s="33"/>
      <c r="H79" s="33"/>
      <c r="I79" s="33"/>
      <c r="J79" s="33"/>
      <c r="K79" s="96"/>
      <c r="L79" s="96"/>
    </row>
    <row r="80" spans="1:12" ht="12" customHeight="1">
      <c r="A80" s="1406" t="str">
        <f>CONCATENATE("Période d'achèvement des résidences principales en ",'Aides traitements'!$I$11)</f>
        <v>Période d'achèvement des résidences principales en 2020</v>
      </c>
      <c r="B80" s="1407" t="s">
        <v>86</v>
      </c>
      <c r="C80" s="1407"/>
      <c r="D80" s="1407"/>
      <c r="E80" s="1407"/>
      <c r="F80" s="1407"/>
      <c r="G80" s="1407"/>
      <c r="J80" s="30"/>
      <c r="K80" s="88"/>
      <c r="L80" s="88"/>
    </row>
    <row r="81" spans="1:15" ht="27.6" customHeight="1">
      <c r="A81" s="1405"/>
      <c r="B81" s="974" t="s">
        <v>429</v>
      </c>
      <c r="C81" s="974" t="s">
        <v>425</v>
      </c>
      <c r="D81" s="974" t="s">
        <v>426</v>
      </c>
      <c r="E81" s="974" t="s">
        <v>427</v>
      </c>
      <c r="F81" s="974" t="s">
        <v>428</v>
      </c>
      <c r="G81" s="974" t="s">
        <v>662</v>
      </c>
      <c r="H81"/>
      <c r="J81" s="85"/>
      <c r="K81" s="88"/>
      <c r="L81" s="88"/>
    </row>
    <row r="82" spans="1:15" ht="13.2" customHeight="1">
      <c r="A82" s="189" t="str">
        <f>INDEX('Aides traitements'!$A$5:$A$26,'Page de garde'!$C$4,1)</f>
        <v>Paul Bert</v>
      </c>
      <c r="B82" s="187">
        <f>VLOOKUP($A82,'Base de données'!$KD$9:$KV$91,14,FALSE)</f>
        <v>353.42755087664801</v>
      </c>
      <c r="C82" s="187">
        <f>VLOOKUP($A82,'Base de données'!$KD$9:$KV$91,15,FALSE)</f>
        <v>224.95823725653401</v>
      </c>
      <c r="D82" s="187">
        <f>VLOOKUP($A82,'Base de données'!$KD$9:$KV$91,16,FALSE)</f>
        <v>321.88570670504703</v>
      </c>
      <c r="E82" s="187">
        <f>VLOOKUP($A82,'Base de données'!$KD$9:$KV$91,17,FALSE)</f>
        <v>271.39522463148501</v>
      </c>
      <c r="F82" s="187">
        <f>VLOOKUP($A82,'Base de données'!$KD$9:$KV$91,18,FALSE)</f>
        <v>261.24157745056198</v>
      </c>
      <c r="G82" s="187">
        <f>VLOOKUP($A82,'Base de données'!$KD$9:$KV$91,19,FALSE)</f>
        <v>279.23662442274099</v>
      </c>
      <c r="H82"/>
      <c r="J82" s="101"/>
      <c r="K82" s="88"/>
      <c r="L82" s="307" t="str">
        <f>CONCATENATE("Période d'achèvement des résidences
principales selon leur type en ",'Aides traitements'!$I$11," ",A82)</f>
        <v>Période d'achèvement des résidences
principales selon leur type en 2020 Paul Bert</v>
      </c>
    </row>
    <row r="83" spans="1:15" ht="13.2" customHeight="1">
      <c r="A83" s="190" t="str">
        <f>VLOOKUP(A82,'Aides traitements'!$A$5:$B$26,2,FALSE)</f>
        <v>Tours nord</v>
      </c>
      <c r="B83" s="84">
        <f>VLOOKUP($A83,'Base de données'!$KD$9:$KV$91,14,FALSE)</f>
        <v>764.5583164349141</v>
      </c>
      <c r="C83" s="84">
        <f>VLOOKUP($A83,'Base de données'!$KD$9:$KV$91,15,FALSE)</f>
        <v>838.50704696692458</v>
      </c>
      <c r="D83" s="84">
        <f>VLOOKUP($A83,'Base de données'!$KD$9:$KV$91,16,FALSE)</f>
        <v>5985.0071555974009</v>
      </c>
      <c r="E83" s="84">
        <f>VLOOKUP($A83,'Base de données'!$KD$9:$KV$91,17,FALSE)</f>
        <v>6264.1952152464537</v>
      </c>
      <c r="F83" s="84">
        <f>VLOOKUP($A83,'Base de données'!$KD$9:$KV$91,18,FALSE)</f>
        <v>2873.9561960437709</v>
      </c>
      <c r="G83" s="84">
        <f>VLOOKUP($A83,'Base de données'!$KD$9:$KV$91,19,FALSE)</f>
        <v>4410.4586230860959</v>
      </c>
      <c r="H83"/>
      <c r="J83" s="102"/>
      <c r="K83" s="88"/>
      <c r="L83" s="88"/>
    </row>
    <row r="84" spans="1:15" ht="13.2" customHeight="1">
      <c r="A84" s="190" t="s">
        <v>0</v>
      </c>
      <c r="B84" s="84">
        <f>VLOOKUP($A84,'Base de données'!$KD$9:$KV$91,14,FALSE)</f>
        <v>5902.1532757204086</v>
      </c>
      <c r="C84" s="84">
        <f>VLOOKUP($A84,'Base de données'!$KD$9:$KV$91,15,FALSE)</f>
        <v>5867.6021413019416</v>
      </c>
      <c r="D84" s="84">
        <f>VLOOKUP($A84,'Base de données'!$KD$9:$KV$91,16,FALSE)</f>
        <v>23787.562791434146</v>
      </c>
      <c r="E84" s="84">
        <f>VLOOKUP($A84,'Base de données'!$KD$9:$KV$91,17,FALSE)</f>
        <v>21506.958114270168</v>
      </c>
      <c r="F84" s="84">
        <f>VLOOKUP($A84,'Base de données'!$KD$9:$KV$91,18,FALSE)</f>
        <v>10494.4911871693</v>
      </c>
      <c r="G84" s="84">
        <f>VLOOKUP($A84,'Base de données'!$KD$9:$KV$91,19,FALSE)</f>
        <v>8149.031641135206</v>
      </c>
      <c r="H84"/>
      <c r="J84" s="103"/>
      <c r="K84" s="88"/>
      <c r="L84" s="88"/>
      <c r="O84" s="151"/>
    </row>
    <row r="85" spans="1:15" ht="13.2" customHeight="1">
      <c r="A85" s="836" t="s">
        <v>304</v>
      </c>
      <c r="B85" s="837"/>
      <c r="C85" s="837"/>
      <c r="D85" s="837"/>
      <c r="E85" s="837"/>
      <c r="F85" s="837"/>
      <c r="G85" s="837"/>
      <c r="H85"/>
      <c r="J85" s="103"/>
      <c r="K85" s="88"/>
      <c r="L85" s="88"/>
    </row>
    <row r="86" spans="1:15" ht="14.25" customHeight="1">
      <c r="A86" s="104"/>
      <c r="B86" s="105"/>
      <c r="C86" s="119"/>
      <c r="D86" s="105"/>
      <c r="E86" s="97"/>
      <c r="F86" s="97"/>
      <c r="G86" s="97"/>
      <c r="H86"/>
      <c r="I86" s="97"/>
      <c r="J86" s="103"/>
      <c r="K86" s="96"/>
      <c r="L86" s="96"/>
    </row>
    <row r="87" spans="1:15" ht="13.5" customHeight="1">
      <c r="A87" s="104"/>
      <c r="B87" s="1424" t="s">
        <v>189</v>
      </c>
      <c r="C87" s="1424"/>
      <c r="D87" s="1424"/>
      <c r="E87" s="1424"/>
      <c r="F87" s="1424"/>
      <c r="G87" s="1424"/>
      <c r="H87"/>
      <c r="I87" s="97"/>
      <c r="J87" s="103"/>
      <c r="K87" s="96"/>
      <c r="L87" s="96"/>
    </row>
    <row r="88" spans="1:15" ht="26.4">
      <c r="A88" s="104"/>
      <c r="B88" s="969" t="s">
        <v>296</v>
      </c>
      <c r="C88" s="969" t="s">
        <v>297</v>
      </c>
      <c r="D88" s="969" t="s">
        <v>298</v>
      </c>
      <c r="E88" s="969" t="s">
        <v>299</v>
      </c>
      <c r="F88" s="969" t="s">
        <v>300</v>
      </c>
      <c r="G88" s="969" t="s">
        <v>639</v>
      </c>
      <c r="H88"/>
      <c r="I88" s="97"/>
      <c r="J88" s="103"/>
      <c r="K88" s="96"/>
      <c r="L88" s="96"/>
    </row>
    <row r="89" spans="1:15" ht="13.5" customHeight="1">
      <c r="A89" s="189" t="str">
        <f>INDEX('Aides traitements'!$A$5:$A$26,'Page de garde'!$C$4,1)</f>
        <v>Paul Bert</v>
      </c>
      <c r="B89" s="304">
        <f t="shared" ref="B89:G91" si="5">B82/SUM($B82:$G82)</f>
        <v>0.20642385260204335</v>
      </c>
      <c r="C89" s="304">
        <f t="shared" si="5"/>
        <v>0.13138971733775631</v>
      </c>
      <c r="D89" s="304">
        <f t="shared" si="5"/>
        <v>0.1880014376660113</v>
      </c>
      <c r="E89" s="304">
        <f t="shared" si="5"/>
        <v>0.15851182995572649</v>
      </c>
      <c r="F89" s="304">
        <f t="shared" si="5"/>
        <v>0.15258146328270067</v>
      </c>
      <c r="G89" s="304">
        <f t="shared" si="5"/>
        <v>0.16309169915576194</v>
      </c>
      <c r="H89"/>
      <c r="I89" s="97"/>
      <c r="J89" s="103"/>
      <c r="K89" s="96"/>
      <c r="L89" s="96"/>
    </row>
    <row r="90" spans="1:15" ht="13.5" customHeight="1">
      <c r="A90" s="190" t="str">
        <f>VLOOKUP(A89,'Aides traitements'!$A$5:$B$26,2,FALSE)</f>
        <v>Tours nord</v>
      </c>
      <c r="B90" s="123">
        <f t="shared" si="5"/>
        <v>3.6172105745743581E-2</v>
      </c>
      <c r="C90" s="123">
        <f t="shared" si="5"/>
        <v>3.9670702573569847E-2</v>
      </c>
      <c r="D90" s="123">
        <f t="shared" si="5"/>
        <v>0.28315735643394929</v>
      </c>
      <c r="E90" s="123">
        <f t="shared" si="5"/>
        <v>0.29636605457965082</v>
      </c>
      <c r="F90" s="123">
        <f t="shared" si="5"/>
        <v>0.13597006951238882</v>
      </c>
      <c r="G90" s="123">
        <f t="shared" si="5"/>
        <v>0.2086637111546977</v>
      </c>
      <c r="H90"/>
      <c r="I90" s="97"/>
      <c r="J90" s="103"/>
      <c r="K90" s="96"/>
      <c r="L90" s="96"/>
    </row>
    <row r="91" spans="1:15" ht="13.5" customHeight="1">
      <c r="A91" s="190" t="s">
        <v>0</v>
      </c>
      <c r="B91" s="123">
        <f t="shared" si="5"/>
        <v>7.7959646719436004E-2</v>
      </c>
      <c r="C91" s="123">
        <f t="shared" si="5"/>
        <v>7.7503271883475708E-2</v>
      </c>
      <c r="D91" s="123">
        <f t="shared" si="5"/>
        <v>0.31420227583131566</v>
      </c>
      <c r="E91" s="123">
        <f t="shared" si="5"/>
        <v>0.28407850123030859</v>
      </c>
      <c r="F91" s="123">
        <f t="shared" si="5"/>
        <v>0.13861836303329336</v>
      </c>
      <c r="G91" s="123">
        <f t="shared" si="5"/>
        <v>0.10763794130217047</v>
      </c>
      <c r="H91"/>
      <c r="I91" s="97"/>
      <c r="J91" s="103"/>
      <c r="K91" s="96"/>
      <c r="L91" s="96"/>
    </row>
    <row r="92" spans="1:15" ht="13.5" customHeight="1">
      <c r="A92" s="836" t="s">
        <v>304</v>
      </c>
      <c r="B92" s="849"/>
      <c r="C92" s="849"/>
      <c r="D92" s="849"/>
      <c r="E92" s="849"/>
      <c r="F92" s="849"/>
      <c r="G92" s="849"/>
      <c r="H92"/>
      <c r="I92" s="97"/>
      <c r="J92" s="103"/>
      <c r="K92" s="96"/>
      <c r="L92" s="96"/>
    </row>
    <row r="93" spans="1:15" customFormat="1" ht="10.5" customHeight="1">
      <c r="A93" s="119" t="str">
        <f>CONCATENATE("Source : Insee, RP",'Aides traitements'!$I$11," exploitation principale et complémentaire       Champ : Résidences principales construites avant 2014")</f>
        <v>Source : Insee, RP2020 exploitation principale et complémentaire       Champ : Résidences principales construites avant 2014</v>
      </c>
      <c r="K93" s="96"/>
      <c r="L93" s="96"/>
    </row>
    <row r="94" spans="1:15" customFormat="1" ht="14.25" customHeight="1">
      <c r="K94" s="96"/>
      <c r="L94" s="96"/>
    </row>
    <row r="95" spans="1:15" customFormat="1" ht="14.25" customHeight="1">
      <c r="A95" s="14"/>
      <c r="B95" s="14"/>
      <c r="C95" s="14"/>
      <c r="D95" s="14"/>
      <c r="K95" s="96"/>
      <c r="L95" s="96"/>
    </row>
    <row r="96" spans="1:15" s="3" customFormat="1" ht="12.75" customHeight="1">
      <c r="A96" s="1405" t="str">
        <f>CONCATENATE("Équipement automobile des ménages en ",'Aides traitements'!$I$11)</f>
        <v>Équipement automobile des ménages en 2020</v>
      </c>
      <c r="B96" s="1407" t="s">
        <v>86</v>
      </c>
      <c r="C96" s="1407"/>
      <c r="D96" s="1407"/>
      <c r="E96" s="1412" t="s">
        <v>189</v>
      </c>
      <c r="F96" s="1412"/>
      <c r="G96" s="1412"/>
      <c r="H96"/>
      <c r="I96"/>
      <c r="J96"/>
      <c r="K96" s="96"/>
      <c r="L96" s="96"/>
    </row>
    <row r="97" spans="1:12" s="3" customFormat="1" ht="26.4">
      <c r="A97" s="1405"/>
      <c r="B97" s="203" t="s">
        <v>237</v>
      </c>
      <c r="C97" s="203" t="s">
        <v>238</v>
      </c>
      <c r="D97" s="203" t="s">
        <v>239</v>
      </c>
      <c r="E97" s="221" t="s">
        <v>237</v>
      </c>
      <c r="F97" s="221" t="s">
        <v>238</v>
      </c>
      <c r="G97" s="221" t="s">
        <v>239</v>
      </c>
      <c r="H97"/>
      <c r="I97"/>
      <c r="J97"/>
      <c r="K97" s="96"/>
      <c r="L97" s="311" t="str">
        <f>CONCATENATE("Équipement automobile des ménages
en ",INDEX('Aides traitements'!$E$4:$E$5,'Page de garde'!$G$4,1)," et ",'Aides traitements'!$I$11," ",A98)</f>
        <v>Équipement automobile des ménages
en 2009 et 2020 Paul Bert</v>
      </c>
    </row>
    <row r="98" spans="1:12" s="3" customFormat="1" ht="12.75" customHeight="1">
      <c r="A98" s="189" t="str">
        <f>INDEX('Aides traitements'!$A$5:$A$26,'Page de garde'!$C$4,1)</f>
        <v>Paul Bert</v>
      </c>
      <c r="B98" s="932">
        <f>VLOOKUP($A98,'Base de données'!$KX$9:$LG$91,8,FALSE)</f>
        <v>392.27051324491504</v>
      </c>
      <c r="C98" s="932">
        <f>VLOOKUP($A98,'Base de données'!$KX$9:$LG$91,9,FALSE)</f>
        <v>1051.7044809316601</v>
      </c>
      <c r="D98" s="932">
        <f>VLOOKUP($A98,'Base de données'!$KX$9:$LG$91,10,FALSE)</f>
        <v>267.154836466765</v>
      </c>
      <c r="E98" s="304">
        <f t="shared" ref="E98:G100" si="6">B98/SUM($B98:$D98)</f>
        <v>0.22924649329351682</v>
      </c>
      <c r="F98" s="304">
        <f t="shared" si="6"/>
        <v>0.61462576485867626</v>
      </c>
      <c r="G98" s="304">
        <f t="shared" si="6"/>
        <v>0.15612774184780695</v>
      </c>
      <c r="H98"/>
      <c r="I98"/>
      <c r="J98"/>
      <c r="K98" s="96"/>
      <c r="L98" s="96"/>
    </row>
    <row r="99" spans="1:12" s="3" customFormat="1" ht="12.75" customHeight="1">
      <c r="A99" s="190" t="str">
        <f>VLOOKUP(A98,'Aides traitements'!$A$5:$B$26,2,FALSE)</f>
        <v>Tours nord</v>
      </c>
      <c r="B99" s="952">
        <f>VLOOKUP($A99,'Base de données'!$KX$9:$LG$91,8,FALSE)</f>
        <v>4437.1970677681074</v>
      </c>
      <c r="C99" s="952">
        <f>VLOOKUP($A99,'Base de données'!$KX$9:$LG$91,9,FALSE)</f>
        <v>12545.424760971386</v>
      </c>
      <c r="D99" s="952">
        <f>VLOOKUP($A99,'Base de données'!$KX$9:$LG$91,10,FALSE)</f>
        <v>4604.0381625298178</v>
      </c>
      <c r="E99" s="123">
        <f t="shared" si="6"/>
        <v>0.20555273810597491</v>
      </c>
      <c r="F99" s="123">
        <f t="shared" si="6"/>
        <v>0.58116562571724206</v>
      </c>
      <c r="G99" s="123">
        <f t="shared" si="6"/>
        <v>0.21328163617678292</v>
      </c>
      <c r="H99"/>
      <c r="I99"/>
      <c r="J99"/>
      <c r="K99" s="96"/>
      <c r="L99" s="96"/>
    </row>
    <row r="100" spans="1:12" s="3" customFormat="1" ht="12.75" customHeight="1">
      <c r="A100" s="190" t="s">
        <v>0</v>
      </c>
      <c r="B100" s="952">
        <f>VLOOKUP($A100,'Base de données'!$KX$9:$LG$91,8,FALSE)</f>
        <v>24101.149787181825</v>
      </c>
      <c r="C100" s="952">
        <f>VLOOKUP($A100,'Base de données'!$KX$9:$LG$91,9,FALSE)</f>
        <v>40768.147631056607</v>
      </c>
      <c r="D100" s="952">
        <f>VLOOKUP($A100,'Base de données'!$KX$9:$LG$91,10,FALSE)</f>
        <v>11620.348768456734</v>
      </c>
      <c r="E100" s="123">
        <f t="shared" si="6"/>
        <v>0.3150903552142989</v>
      </c>
      <c r="F100" s="123">
        <f t="shared" si="6"/>
        <v>0.53298909935535743</v>
      </c>
      <c r="G100" s="123">
        <f t="shared" si="6"/>
        <v>0.15192054543034361</v>
      </c>
      <c r="H100"/>
      <c r="I100"/>
      <c r="J100"/>
      <c r="K100" s="96"/>
      <c r="L100" s="96"/>
    </row>
    <row r="101" spans="1:12" s="3" customFormat="1" ht="12.75" customHeight="1">
      <c r="A101" s="836" t="s">
        <v>304</v>
      </c>
      <c r="B101" s="837"/>
      <c r="C101" s="837"/>
      <c r="D101" s="837"/>
      <c r="E101" s="849"/>
      <c r="F101" s="849"/>
      <c r="G101" s="849"/>
      <c r="H101"/>
      <c r="I101"/>
      <c r="J101"/>
      <c r="K101" s="96"/>
      <c r="L101" s="96"/>
    </row>
    <row r="102" spans="1:12" s="19" customFormat="1" ht="10.5" customHeight="1">
      <c r="A102" s="1425" t="str">
        <f>CONCATENATE("Source : Insee, RP",'Aides traitements'!$I$11," exploitation principale et complémentaire       Champ : Ménage")</f>
        <v>Source : Insee, RP2020 exploitation principale et complémentaire       Champ : Ménage</v>
      </c>
      <c r="B102" s="1425"/>
      <c r="C102" s="1425"/>
      <c r="D102" s="1425"/>
      <c r="E102" s="97"/>
      <c r="F102" s="97"/>
      <c r="G102" s="63"/>
      <c r="H102" s="1"/>
      <c r="I102" s="1"/>
      <c r="J102" s="1"/>
      <c r="K102" s="96"/>
      <c r="L102" s="96"/>
    </row>
    <row r="103" spans="1:12" customFormat="1" ht="14.25" customHeight="1">
      <c r="D103" s="17"/>
      <c r="K103" s="96"/>
      <c r="L103" s="96"/>
    </row>
    <row r="104" spans="1:12" customFormat="1" ht="14.25" customHeight="1">
      <c r="A104" s="75"/>
      <c r="B104" s="75"/>
      <c r="C104" s="75"/>
      <c r="D104" s="75"/>
      <c r="E104" s="75"/>
      <c r="F104" s="75"/>
      <c r="G104" s="75"/>
      <c r="H104" s="75"/>
      <c r="I104" s="75"/>
      <c r="J104" s="75"/>
      <c r="K104" s="75"/>
      <c r="L104" s="75"/>
    </row>
    <row r="105" spans="1:12" s="63" customFormat="1" ht="15" customHeight="1">
      <c r="A105"/>
      <c r="B105"/>
      <c r="C105"/>
      <c r="D105"/>
      <c r="E105"/>
      <c r="F105"/>
      <c r="G105"/>
      <c r="H105"/>
      <c r="I105"/>
      <c r="J105"/>
      <c r="K105"/>
      <c r="L105"/>
    </row>
    <row r="106" spans="1:12" ht="14.25" customHeight="1">
      <c r="A106"/>
      <c r="B106"/>
      <c r="C106"/>
      <c r="D106"/>
      <c r="E106"/>
      <c r="F106"/>
      <c r="G106"/>
      <c r="H106"/>
      <c r="I106"/>
      <c r="J106"/>
      <c r="K106"/>
      <c r="L106"/>
    </row>
    <row r="107" spans="1:12">
      <c r="A107"/>
      <c r="B107"/>
      <c r="C107"/>
      <c r="D107"/>
      <c r="E107"/>
      <c r="F107"/>
      <c r="G107"/>
      <c r="H107"/>
      <c r="I107"/>
      <c r="J107"/>
      <c r="K107"/>
      <c r="L107"/>
    </row>
    <row r="108" spans="1:12" ht="13.2" customHeight="1">
      <c r="A108"/>
      <c r="B108"/>
      <c r="C108"/>
      <c r="D108"/>
      <c r="E108"/>
      <c r="F108"/>
      <c r="G108"/>
      <c r="H108"/>
      <c r="I108"/>
      <c r="J108"/>
      <c r="K108"/>
      <c r="L108"/>
    </row>
    <row r="109" spans="1:12" ht="13.2" customHeight="1">
      <c r="A109"/>
      <c r="B109"/>
      <c r="C109"/>
      <c r="D109"/>
      <c r="E109"/>
      <c r="F109"/>
      <c r="G109"/>
      <c r="H109"/>
      <c r="I109"/>
      <c r="J109"/>
      <c r="K109"/>
      <c r="L109"/>
    </row>
    <row r="110" spans="1:12" ht="13.2" customHeight="1">
      <c r="A110"/>
      <c r="B110"/>
      <c r="C110"/>
      <c r="D110"/>
      <c r="E110"/>
      <c r="F110"/>
      <c r="G110"/>
      <c r="H110"/>
      <c r="I110"/>
      <c r="J110"/>
      <c r="K110"/>
      <c r="L110"/>
    </row>
    <row r="111" spans="1:12" ht="12.75" customHeight="1">
      <c r="A111"/>
      <c r="B111"/>
      <c r="C111"/>
      <c r="D111"/>
      <c r="E111"/>
      <c r="F111"/>
      <c r="G111"/>
      <c r="H111"/>
      <c r="I111"/>
      <c r="J111"/>
      <c r="K111"/>
      <c r="L111"/>
    </row>
    <row r="112" spans="1:12" ht="10.5" customHeight="1">
      <c r="A112"/>
      <c r="B112"/>
      <c r="C112"/>
      <c r="D112"/>
      <c r="E112"/>
      <c r="F112"/>
      <c r="G112"/>
      <c r="H112"/>
      <c r="I112"/>
      <c r="J112"/>
      <c r="K112"/>
      <c r="L112"/>
    </row>
    <row r="113" spans="1:12" customFormat="1" ht="14.25" customHeight="1"/>
    <row r="114" spans="1:12" customFormat="1" ht="14.25" customHeight="1"/>
    <row r="115" spans="1:12" customFormat="1" ht="14.25" customHeight="1"/>
    <row r="116" spans="1:12" ht="14.25" customHeight="1">
      <c r="A116"/>
      <c r="B116"/>
      <c r="C116"/>
      <c r="D116"/>
      <c r="E116"/>
      <c r="F116"/>
      <c r="G116"/>
      <c r="H116"/>
      <c r="I116"/>
      <c r="J116"/>
      <c r="K116"/>
      <c r="L116"/>
    </row>
    <row r="117" spans="1:12">
      <c r="A117"/>
      <c r="B117"/>
      <c r="C117"/>
      <c r="D117"/>
      <c r="E117"/>
      <c r="F117"/>
      <c r="G117"/>
      <c r="H117"/>
      <c r="I117"/>
      <c r="J117"/>
      <c r="K117"/>
      <c r="L117"/>
    </row>
    <row r="118" spans="1:12" ht="13.2" customHeight="1">
      <c r="A118"/>
      <c r="B118"/>
      <c r="C118"/>
      <c r="D118"/>
      <c r="E118"/>
      <c r="F118"/>
      <c r="G118"/>
      <c r="H118"/>
      <c r="I118"/>
      <c r="J118"/>
      <c r="K118"/>
      <c r="L118"/>
    </row>
    <row r="119" spans="1:12" ht="13.2" customHeight="1">
      <c r="A119"/>
      <c r="B119"/>
      <c r="C119"/>
      <c r="D119"/>
      <c r="E119"/>
      <c r="F119"/>
      <c r="G119"/>
      <c r="H119"/>
      <c r="I119"/>
      <c r="J119"/>
      <c r="K119"/>
      <c r="L119"/>
    </row>
    <row r="120" spans="1:12" ht="13.2" customHeight="1">
      <c r="A120"/>
      <c r="B120"/>
      <c r="C120"/>
      <c r="D120"/>
      <c r="E120"/>
      <c r="F120"/>
      <c r="G120"/>
      <c r="H120"/>
      <c r="I120"/>
      <c r="J120"/>
      <c r="K120"/>
      <c r="L120"/>
    </row>
    <row r="121" spans="1:12" ht="12.75" customHeight="1">
      <c r="A121"/>
      <c r="B121"/>
      <c r="C121"/>
      <c r="D121"/>
      <c r="E121"/>
      <c r="F121"/>
      <c r="G121"/>
      <c r="H121"/>
      <c r="I121"/>
      <c r="J121"/>
      <c r="K121"/>
      <c r="L121"/>
    </row>
    <row r="122" spans="1:12" ht="10.5" customHeight="1">
      <c r="A122"/>
      <c r="B122"/>
      <c r="C122"/>
      <c r="D122"/>
      <c r="E122"/>
      <c r="F122"/>
      <c r="G122"/>
      <c r="H122"/>
      <c r="I122"/>
      <c r="J122"/>
      <c r="K122"/>
      <c r="L122"/>
    </row>
    <row r="123" spans="1:12" ht="14.25" customHeight="1">
      <c r="A123"/>
      <c r="B123"/>
      <c r="C123"/>
      <c r="D123"/>
      <c r="E123"/>
      <c r="F123"/>
      <c r="G123"/>
      <c r="H123"/>
      <c r="I123"/>
      <c r="J123"/>
      <c r="K123"/>
      <c r="L123"/>
    </row>
    <row r="124" spans="1:12" ht="14.25" customHeight="1">
      <c r="A124"/>
      <c r="B124"/>
      <c r="C124"/>
      <c r="D124"/>
      <c r="E124"/>
      <c r="F124"/>
      <c r="G124"/>
      <c r="H124"/>
      <c r="I124"/>
      <c r="J124"/>
      <c r="K124"/>
      <c r="L124"/>
    </row>
    <row r="125" spans="1:12">
      <c r="A125"/>
      <c r="B125"/>
      <c r="C125"/>
      <c r="D125"/>
      <c r="E125"/>
      <c r="F125"/>
      <c r="G125"/>
      <c r="H125"/>
      <c r="I125"/>
      <c r="J125"/>
      <c r="K125"/>
      <c r="L125"/>
    </row>
    <row r="126" spans="1:12" ht="13.2" customHeight="1">
      <c r="A126"/>
      <c r="B126"/>
      <c r="C126"/>
      <c r="D126"/>
      <c r="E126"/>
      <c r="F126"/>
      <c r="G126"/>
      <c r="H126"/>
      <c r="I126"/>
      <c r="J126"/>
      <c r="K126"/>
      <c r="L126"/>
    </row>
    <row r="127" spans="1:12" ht="13.2" customHeight="1">
      <c r="A127"/>
      <c r="B127"/>
      <c r="C127"/>
      <c r="D127"/>
      <c r="E127"/>
      <c r="F127"/>
      <c r="G127"/>
      <c r="H127"/>
      <c r="I127"/>
      <c r="J127"/>
      <c r="K127"/>
      <c r="L127"/>
    </row>
    <row r="128" spans="1:12" ht="13.2" customHeight="1">
      <c r="A128"/>
      <c r="B128"/>
      <c r="C128"/>
      <c r="D128"/>
      <c r="E128"/>
      <c r="F128"/>
      <c r="G128"/>
      <c r="H128"/>
      <c r="I128"/>
      <c r="J128"/>
      <c r="K128"/>
      <c r="L128"/>
    </row>
    <row r="129" spans="1:12" ht="12.75" customHeight="1">
      <c r="A129"/>
      <c r="B129"/>
      <c r="C129"/>
      <c r="D129"/>
      <c r="E129"/>
      <c r="F129"/>
      <c r="G129"/>
      <c r="H129"/>
      <c r="I129"/>
      <c r="J129"/>
      <c r="K129"/>
      <c r="L129"/>
    </row>
    <row r="130" spans="1:12" ht="10.5" customHeight="1">
      <c r="A130"/>
      <c r="B130"/>
      <c r="C130"/>
      <c r="D130"/>
      <c r="E130"/>
      <c r="F130"/>
      <c r="G130"/>
      <c r="H130"/>
      <c r="I130"/>
      <c r="J130"/>
      <c r="K130"/>
      <c r="L130"/>
    </row>
    <row r="131" spans="1:12" ht="14.25" customHeight="1">
      <c r="A131"/>
      <c r="B131"/>
      <c r="C131"/>
      <c r="D131"/>
      <c r="E131"/>
      <c r="F131"/>
      <c r="G131"/>
      <c r="H131"/>
      <c r="I131"/>
      <c r="J131"/>
      <c r="K131"/>
      <c r="L131"/>
    </row>
    <row r="132" spans="1:12" ht="14.25" customHeight="1">
      <c r="A132"/>
      <c r="B132"/>
      <c r="C132"/>
      <c r="D132"/>
      <c r="E132"/>
      <c r="F132"/>
      <c r="G132"/>
      <c r="H132"/>
      <c r="I132"/>
      <c r="J132"/>
      <c r="K132"/>
      <c r="L132"/>
    </row>
    <row r="133" spans="1:12">
      <c r="A133"/>
      <c r="B133"/>
      <c r="C133"/>
      <c r="D133"/>
      <c r="E133"/>
      <c r="F133"/>
      <c r="G133"/>
      <c r="H133"/>
      <c r="I133"/>
      <c r="J133"/>
      <c r="K133"/>
      <c r="L133"/>
    </row>
    <row r="134" spans="1:12" ht="13.2" customHeight="1">
      <c r="A134"/>
      <c r="B134"/>
      <c r="C134"/>
      <c r="D134"/>
      <c r="E134"/>
      <c r="F134"/>
      <c r="G134"/>
      <c r="H134"/>
      <c r="I134"/>
      <c r="J134"/>
      <c r="K134"/>
      <c r="L134"/>
    </row>
    <row r="135" spans="1:12" ht="13.2" customHeight="1">
      <c r="A135"/>
      <c r="B135"/>
      <c r="C135"/>
      <c r="D135"/>
      <c r="E135"/>
      <c r="F135"/>
      <c r="G135"/>
      <c r="H135"/>
      <c r="I135"/>
      <c r="J135"/>
      <c r="K135"/>
      <c r="L135"/>
    </row>
    <row r="136" spans="1:12" ht="13.2" customHeight="1">
      <c r="A136"/>
      <c r="B136"/>
      <c r="C136"/>
      <c r="D136"/>
      <c r="E136"/>
      <c r="F136"/>
      <c r="G136"/>
      <c r="H136"/>
      <c r="I136"/>
      <c r="J136"/>
      <c r="K136"/>
      <c r="L136"/>
    </row>
    <row r="137" spans="1:12" ht="12.75" customHeight="1">
      <c r="A137"/>
      <c r="B137"/>
      <c r="C137"/>
      <c r="D137"/>
      <c r="E137"/>
      <c r="F137"/>
      <c r="G137"/>
      <c r="H137"/>
      <c r="I137"/>
      <c r="J137"/>
      <c r="K137"/>
      <c r="L137"/>
    </row>
    <row r="138" spans="1:12" ht="10.5" customHeight="1">
      <c r="A138"/>
      <c r="B138"/>
      <c r="C138"/>
      <c r="D138"/>
      <c r="E138"/>
      <c r="F138"/>
      <c r="G138"/>
      <c r="H138"/>
      <c r="I138"/>
      <c r="J138"/>
      <c r="K138"/>
      <c r="L138"/>
    </row>
    <row r="139" spans="1:12" ht="14.25" customHeight="1">
      <c r="A139"/>
      <c r="B139"/>
      <c r="C139"/>
      <c r="D139"/>
      <c r="E139"/>
      <c r="F139"/>
      <c r="G139"/>
      <c r="H139"/>
      <c r="I139"/>
      <c r="J139"/>
      <c r="K139"/>
      <c r="L139"/>
    </row>
    <row r="140" spans="1:12" ht="14.25" customHeight="1">
      <c r="A140"/>
      <c r="B140"/>
      <c r="C140"/>
      <c r="D140"/>
      <c r="E140"/>
      <c r="F140"/>
      <c r="G140"/>
      <c r="H140"/>
      <c r="I140"/>
      <c r="J140"/>
      <c r="K140"/>
      <c r="L140"/>
    </row>
    <row r="141" spans="1:12" ht="14.25" customHeight="1">
      <c r="A141"/>
      <c r="B141"/>
      <c r="C141"/>
      <c r="D141"/>
      <c r="E141"/>
      <c r="F141"/>
      <c r="G141"/>
      <c r="H141"/>
      <c r="I141"/>
      <c r="J141"/>
      <c r="K141"/>
      <c r="L141"/>
    </row>
  </sheetData>
  <sheetProtection algorithmName="SHA-512" hashValue="5svXKZFp9VONT5KEg3IyYXemMUUgF9d8xR3GRY/vxHH3PLEy/3v+8PHz3sNetrLAplgrHVyHh8/SY7xfMg9Peg==" saltValue="VW+ik4gbQt8tQ0W3QakXfA==" spinCount="100000" sheet="1" objects="1" scenarios="1"/>
  <mergeCells count="25">
    <mergeCell ref="B87:G87"/>
    <mergeCell ref="A102:D102"/>
    <mergeCell ref="B96:D96"/>
    <mergeCell ref="E96:G96"/>
    <mergeCell ref="A96:A97"/>
    <mergeCell ref="B21:D21"/>
    <mergeCell ref="E21:G21"/>
    <mergeCell ref="B30:D30"/>
    <mergeCell ref="E30:G30"/>
    <mergeCell ref="A21:A22"/>
    <mergeCell ref="K54:L54"/>
    <mergeCell ref="K27:L27"/>
    <mergeCell ref="A30:A31"/>
    <mergeCell ref="B80:G80"/>
    <mergeCell ref="A52:A53"/>
    <mergeCell ref="A70:A71"/>
    <mergeCell ref="I52:I53"/>
    <mergeCell ref="F70:I70"/>
    <mergeCell ref="B52:D52"/>
    <mergeCell ref="E52:G52"/>
    <mergeCell ref="A80:A81"/>
    <mergeCell ref="A61:A62"/>
    <mergeCell ref="B61:E61"/>
    <mergeCell ref="B70:E70"/>
    <mergeCell ref="F61:I61"/>
  </mergeCells>
  <printOptions horizontalCentered="1"/>
  <pageMargins left="0.23622047244094491" right="0.19685039370078741" top="0.31496062992125984" bottom="0.31496062992125984" header="0.23622047244094491" footer="0.19685039370078741"/>
  <pageSetup paperSize="8" scale="86" orientation="portrait" useFirstPageNumber="1" r:id="rId1"/>
  <headerFooter scaleWithDoc="0">
    <oddFooter>&amp;LDGPU Ville de Tours&amp;CPage &amp;P&amp;RPortrait_Tours_RP2020.xlsx</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e 8 9 c 2 a b 5 - 4 d e 0 - 4 5 5 1 - 9 c e b - 5 4 8 1 e e 8 6 1 2 3 0 "   s q m i d = " f 6 b 4 1 9 3 b - 7 5 b 2 - 4 c 2 4 - b b b d - 8 b c 9 e c c 4 6 3 9 4 "   x m l n s = " h t t p : / / s c h e m a s . m i c r o s o f t . c o m / D a t a M a s h u p " > A A A A A J w D A A B Q S w M E F A A C A A g A d I Z 3 T W A v R p S s A A A A + w A A A B I A H A B D b 2 5 m a W c v U G F j a 2 F n Z S 5 4 b W w g o h g A K K A U A A A A A A A A A A A A A A A A A A A A A A A A A A A A h Y / P C o J A G M R f R f b u t 3 9 E M f l c D 0 G n h C i I r q K r L u k a u q b v 1 q F H 6 h U K y u j W b W a Y H 8 w 8 b n d M 5 r Z x r q o f d G d i w o E R R 5 m 8 K 7 S p Y j L a 0 g 1 J I n G X 5 e e s U s 6 r b I Z o H n R M a m s v E a X T N M H k Q d d X V D D G 6 S n d H v J a t Z m r z W A z k y v y p Y r / F J F 4 f I + R A v w A f C Y 8 4 D z k S J c c U 2 0 W z c E H T 6 w C Y E h / Y l y P j R 1 7 J c v e 3 e y R L h b p 5 4 h 8 A l B L A w Q U A A I A C A B 0 h n d N 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I Z 3 T Y J l t D G O A A A A p g A A A B M A H A B G b 3 J t d W x h c y 9 T Z W N 0 a W 9 u M S 5 t I K I Y A C i g F A A A A A A A A A A A A A A A A A A A A A A A A A A A A E 2 M s Q r C M B Q A 9 0 D + I c R F w Y S 8 2 N i W 4 i K O I k o / Q F 5 e Q y 1 I A 0 n q 9 1 t w 8 Z a D G y 4 H K l O c R f 8 z d J x x l l + Y w i A 2 8 o a f a c Q S 0 x l z e D p P 5 u C B F L n W q K q 2 j f K 2 Q U U W a o L a k H d e i p N 4 h 8 K Z W O n j k i i s 5 R 5 z G V P o H 1 d 9 w Y J + v W 0 l t F b D s d F g j I b K y L 2 Q f s C y y B 1 n 0 / x / 6 L 5 Q S w E C L Q A U A A I A C A B 0 h n d N Y C 9 G l K w A A A D 7 A A A A E g A A A A A A A A A A A A A A A A A A A A A A Q 2 9 u Z m l n L 1 B h Y 2 t h Z 2 U u e G 1 s U E s B A i 0 A F A A C A A g A d I Z 3 T Q / K 6 a u k A A A A 6 Q A A A B M A A A A A A A A A A A A A A A A A + A A A A F t D b 2 5 0 Z W 5 0 X 1 R 5 c G V z X S 5 4 b W x Q S w E C L Q A U A A I A C A B 0 h n d N g m W 0 M Y 4 A A A C m A A A A E w A A A A A A A A A A A A A A A A D p A Q A A R m 9 y b X V s Y X M v U 2 V j d G l v b j E u b V B L B Q Y A A A A A A w A D A M I A A A D E 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m A w A A A A A A A I Q D 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O Y X Z p Z 2 F 0 b 3 J C Y X N l X z V i Y z A z Y j F j L W M 1 O T A t N D c y O C 1 i M j h h L W M y M T d j M T c w Y 2 I 1 Y j w v S X R l b V B h d G g + P C 9 J d G V t T G 9 j Y X R p b 2 4 + P F N 0 Y W J s Z U V u d H J p Z X M + P E V u d H J 5 I F R 5 c G U 9 I k l z U H J p d m F 0 Z S I g V m F s d W U 9 I m w x I i A v P j x F b n R y e S B U e X B l P S J O Y W 1 l V X B k Y X R l Z E F m d G V y R m l s b C I g V m F s d W U 9 I m w x I i A v P j x F b n R y e S B U e X B l P S J C d W Z m Z X J O Z X h 0 U m V m c m V z a C I g V m F s d W U 9 I m w x I i A v P j x F b n R y e S B U e X B l P S J S Z X N 1 b H R U e X B l I i B W Y W x 1 Z T 0 i c 1 R h Y m x l I i A v P j w v U 3 R h Y m x l R W 5 0 c m l l c z 4 8 L 0 l 0 Z W 0 + P E l 0 Z W 0 + P E l 0 Z W 1 M b 2 N h d G l v b j 4 8 S X R l b V R 5 c G U + R m 9 y b X V s Y T w v S X R l b V R 5 c G U + P E l 0 Z W 1 Q Y X R o P l N l Y 3 R p b 2 4 x L 0 5 h d m l n Y X R v c k J h c 2 V f N W J j M D N i M W M t Y z U 5 M C 0 0 N z I 4 L W I y O G E t Y z I x N 2 M x N z B j Y j V i L 1 N v d X J j Z T w v S X R l b V B h d G g + P C 9 J d G V t T G 9 j Y X R p b 2 4 + P F N 0 Y W J s Z U V u d H J p Z X M g L z 4 8 L 0 l 0 Z W 0 + P C 9 J d G V t c z 4 8 L 0 x v Y 2 F s U G F j a 2 F n Z U 1 l d G F k Y X R h R m l s Z T 4 W A A A A U E s F B g A A A A A A A A A A A A A A A A A A A A A A A N o A A A A B A A A A 0 I y d 3 w E V 0 R G M e g D A T 8 K X 6 w E A A A C r x 8 T 9 L H Y k R L J w D j f s T Y p j A A A A A A I A A A A A A A N m A A D A A A A A E A A A A G 0 l 3 q v b 4 Z F y 2 C R 4 U M X s t F U A A A A A B I A A A K A A A A A Q A A A A 0 M q y T w N 1 C q 7 t n C k A 1 r 3 3 y F A A A A C X 0 z X t u y I t c N d R 0 v H w y 4 n O n n e Z W u O t e 2 V d d U H X F f b 5 e 4 M Z z d y s d m 9 6 r Y 1 o k 0 i A A 0 a Z m z j k F p w J J / C w b U v 2 w / V 5 P 4 p i l H f X s S e S L 7 w X A 9 Q q p R Q A A A D r A S 8 v o v q s M S 1 Y f p 8 n L 0 X P d 6 7 j P A = = < / D a t a M a s h u p > 
</file>

<file path=customXml/itemProps1.xml><?xml version="1.0" encoding="utf-8"?>
<ds:datastoreItem xmlns:ds="http://schemas.openxmlformats.org/officeDocument/2006/customXml" ds:itemID="{7EDD1C61-766F-4E6E-B189-7AABE9EB5BB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14</vt:i4>
      </vt:variant>
    </vt:vector>
  </HeadingPairs>
  <TitlesOfParts>
    <vt:vector size="27" baseType="lpstr">
      <vt:lpstr>Base de données</vt:lpstr>
      <vt:lpstr>Pyramide âge</vt:lpstr>
      <vt:lpstr>Page de garde</vt:lpstr>
      <vt:lpstr>Cartographie des quartiers</vt:lpstr>
      <vt:lpstr>Démographie</vt:lpstr>
      <vt:lpstr>Âge</vt:lpstr>
      <vt:lpstr>Revenus</vt:lpstr>
      <vt:lpstr>Ménages</vt:lpstr>
      <vt:lpstr>Habitat</vt:lpstr>
      <vt:lpstr>Emploi et activité</vt:lpstr>
      <vt:lpstr>Formation</vt:lpstr>
      <vt:lpstr>Domicile-travail</vt:lpstr>
      <vt:lpstr>Aides traitements</vt:lpstr>
      <vt:lpstr>Âge!Impression_des_titres</vt:lpstr>
      <vt:lpstr>Démographie!Impression_des_titres</vt:lpstr>
      <vt:lpstr>'Emploi et activité'!Impression_des_titres</vt:lpstr>
      <vt:lpstr>Formation!Impression_des_titres</vt:lpstr>
      <vt:lpstr>Habitat!Impression_des_titres</vt:lpstr>
      <vt:lpstr>Ménages!Impression_des_titres</vt:lpstr>
      <vt:lpstr>Parc_logement</vt:lpstr>
      <vt:lpstr>Âge!Zone_d_impression</vt:lpstr>
      <vt:lpstr>Démographie!Zone_d_impression</vt:lpstr>
      <vt:lpstr>'Emploi et activité'!Zone_d_impression</vt:lpstr>
      <vt:lpstr>Formation!Zone_d_impression</vt:lpstr>
      <vt:lpstr>Ménages!Zone_d_impression</vt:lpstr>
      <vt:lpstr>'Page de garde'!Zone_d_impression</vt:lpstr>
      <vt:lpstr>Revenus!Zone_d_impression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maricher</dc:creator>
  <cp:lastModifiedBy>Eva NOSSEREAU</cp:lastModifiedBy>
  <cp:lastPrinted>2023-11-22T15:11:56Z</cp:lastPrinted>
  <dcterms:created xsi:type="dcterms:W3CDTF">2009-10-19T10:10:51Z</dcterms:created>
  <dcterms:modified xsi:type="dcterms:W3CDTF">2024-02-09T15:00:04Z</dcterms:modified>
</cp:coreProperties>
</file>